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ООО &quot;Гармония&quot;" sheetId="1" r:id="rId1"/>
    <sheet name="гармония 2015а" sheetId="2" r:id="rId2"/>
    <sheet name="гармония 2014" sheetId="3" r:id="rId3"/>
    <sheet name="содружество 2015" sheetId="4" r:id="rId4"/>
    <sheet name="содружество 2014" sheetId="5" r:id="rId5"/>
    <sheet name="Лист1" sheetId="6" r:id="rId6"/>
    <sheet name="содружествосс13" sheetId="7" r:id="rId7"/>
    <sheet name="гармония 13" sheetId="8" r:id="rId8"/>
  </sheets>
  <definedNames>
    <definedName name="_xlnm.Print_Area" localSheetId="7">'гармония 13'!$A$1:$AX$45</definedName>
    <definedName name="_xlnm.Print_Area" localSheetId="2">'гармония 2014'!$A$1:$BG$39</definedName>
    <definedName name="_xlnm.Print_Area" localSheetId="3">'содружество 2015'!$A$1:$BM$45</definedName>
    <definedName name="_xlnm.Print_Area" localSheetId="6">'содружествосс13'!$A$1:$BB$56</definedName>
  </definedNames>
  <calcPr fullCalcOnLoad="1"/>
</workbook>
</file>

<file path=xl/sharedStrings.xml><?xml version="1.0" encoding="utf-8"?>
<sst xmlns="http://schemas.openxmlformats.org/spreadsheetml/2006/main" count="970" uniqueCount="142">
  <si>
    <t>СВОДНЫЙ РАСЧЕТ</t>
  </si>
  <si>
    <t>№ п/п</t>
  </si>
  <si>
    <t>Адрес дома</t>
  </si>
  <si>
    <t>Подезд</t>
  </si>
  <si>
    <t>Количество квартир</t>
  </si>
  <si>
    <t>Серия</t>
  </si>
  <si>
    <t>Год постройки</t>
  </si>
  <si>
    <t xml:space="preserve">Тариф на текущий ремонт </t>
  </si>
  <si>
    <t>Ремонт кровли отдельными местами и лоджий, люков</t>
  </si>
  <si>
    <t>Замена почтовых ящиков</t>
  </si>
  <si>
    <t>Ремонт межпанель-  ных швов отдельны- ми местами</t>
  </si>
  <si>
    <t>Ремонт тамбуров</t>
  </si>
  <si>
    <t>Ремонт крылец, отмостки, полов в подвалах</t>
  </si>
  <si>
    <t>Ремонт подъез-  дов</t>
  </si>
  <si>
    <t>Ремонт и замена оконных и дверных блоков</t>
  </si>
  <si>
    <t>руб/м2 в месяц</t>
  </si>
  <si>
    <t>ул. Прибалтийская д. 27</t>
  </si>
  <si>
    <t>эст</t>
  </si>
  <si>
    <t>ул. Прибалтийская д. 37</t>
  </si>
  <si>
    <t>ул. Ленинградская д.33</t>
  </si>
  <si>
    <t>лат</t>
  </si>
  <si>
    <t>ул. Ленинградская д.37</t>
  </si>
  <si>
    <t>ул. Ленинградская д.39</t>
  </si>
  <si>
    <t>ул. Ленинградская д.41</t>
  </si>
  <si>
    <t>ул. Ленинградская д.43</t>
  </si>
  <si>
    <t>ул. Ленинградская д.45</t>
  </si>
  <si>
    <t>ул. Ленинградская д.47</t>
  </si>
  <si>
    <t>ул. Ленинградская д.51</t>
  </si>
  <si>
    <t>ул. Ленинградская д.53</t>
  </si>
  <si>
    <t>ул. Ленинградская д.57</t>
  </si>
  <si>
    <t>ул. Ленинградская д.59</t>
  </si>
  <si>
    <t>ул. Ленинградская д.61</t>
  </si>
  <si>
    <t>ул. Ленинградская д.65</t>
  </si>
  <si>
    <t>ул. Прибалтийская д. 27/1</t>
  </si>
  <si>
    <t>ул. Прибалтийская д. 29/1</t>
  </si>
  <si>
    <t>ул. Прибалтийская д. 31/1</t>
  </si>
  <si>
    <t>Ленинградская 4</t>
  </si>
  <si>
    <t>Ленинградская 6</t>
  </si>
  <si>
    <t>Ленинградская 8</t>
  </si>
  <si>
    <t>Ленинградская 10</t>
  </si>
  <si>
    <t>Ленинградская 12</t>
  </si>
  <si>
    <t>Прибалтийская 23</t>
  </si>
  <si>
    <t>Прибалтийская 25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</si>
  <si>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</si>
  <si>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</si>
  <si>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</si>
  <si>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</si>
  <si>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</si>
  <si>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</si>
  <si>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</si>
  <si>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</si>
  <si>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</si>
  <si>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</si>
  <si>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</si>
  <si>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Бакинская 1</t>
  </si>
  <si>
    <t>Бакинская 3</t>
  </si>
  <si>
    <t xml:space="preserve">Бакинская 11 </t>
  </si>
  <si>
    <t>Бакинская 13</t>
  </si>
  <si>
    <t>Бакинская 15</t>
  </si>
  <si>
    <t>Бакинская 17</t>
  </si>
  <si>
    <t>Бакинская 21</t>
  </si>
  <si>
    <t>Бакинская 25</t>
  </si>
  <si>
    <t>аз</t>
  </si>
  <si>
    <t>Общая площадь дома</t>
  </si>
  <si>
    <t>Ленинградская 25</t>
  </si>
  <si>
    <t>Ленинградская 31</t>
  </si>
  <si>
    <t>Ленинградская 35</t>
  </si>
  <si>
    <t>Бакинская 23</t>
  </si>
  <si>
    <t>Бакинская 33</t>
  </si>
  <si>
    <t>Бакинская 35</t>
  </si>
  <si>
    <t>этаж</t>
  </si>
  <si>
    <t>Петренко А.И.</t>
  </si>
  <si>
    <t>Стоимость на год</t>
  </si>
  <si>
    <t>ИТОГО стоимость</t>
  </si>
  <si>
    <t>Тариф без текущего ремонта</t>
  </si>
  <si>
    <t>руб/м2 месяц</t>
  </si>
  <si>
    <t>Итого тариф на текущий ремонт</t>
  </si>
  <si>
    <t>Итого тариф с текущим ремонтом</t>
  </si>
  <si>
    <t>Тариф на текущий ремонт</t>
  </si>
  <si>
    <t>тарифов по  текущему ремонту на 2009 г.ООО "Гармония"</t>
  </si>
  <si>
    <t>ИТОГО:</t>
  </si>
  <si>
    <t>"У Т В Е Р Ж Д А Ю" :</t>
  </si>
  <si>
    <t>__________________ С. Б. Былинка</t>
  </si>
  <si>
    <t>"______"__________________2008 г.</t>
  </si>
  <si>
    <t>руб.</t>
  </si>
  <si>
    <t xml:space="preserve">Главный инженер </t>
  </si>
  <si>
    <t>Зоммер Т.В.</t>
  </si>
  <si>
    <t>Остаток за 2009</t>
  </si>
  <si>
    <t>Выполнено</t>
  </si>
  <si>
    <t>ВСЕГО</t>
  </si>
  <si>
    <t>Ремонт межпанельных швов</t>
  </si>
  <si>
    <t>"______"__________________2011 г.</t>
  </si>
  <si>
    <t>Установка ламп светодиодных и антивандальных на л/клетках и холл</t>
  </si>
  <si>
    <t>замена и приобретение приборов учета</t>
  </si>
  <si>
    <t>Измерение сопротивления изоляции</t>
  </si>
  <si>
    <t>Приобретение  приборов учета</t>
  </si>
  <si>
    <t>Установка эл. Ламп в под</t>
  </si>
  <si>
    <t>ремонт изодяции</t>
  </si>
  <si>
    <t>Ремонт эл. щитовых</t>
  </si>
  <si>
    <t>Ремонт и установка  дверей в эл. щитовые</t>
  </si>
  <si>
    <t>Установка эл.ламп в подъездах</t>
  </si>
  <si>
    <t>Ремонт крылец, отмостки</t>
  </si>
  <si>
    <t>исполнитель
Ефимова Е.И.
26.10.2013</t>
  </si>
  <si>
    <t>Ремонт изоляции</t>
  </si>
  <si>
    <t>Ремонт щитовых</t>
  </si>
  <si>
    <t>Измерение сопративления</t>
  </si>
  <si>
    <t>испол.
Ефимова Е.И.</t>
  </si>
  <si>
    <t>ПРОЕКТ РАСЧЕТ</t>
  </si>
  <si>
    <t>тарифов по текущему ремонту на 2013г. ООО "Содружество"</t>
  </si>
  <si>
    <t>тарифов по текущему ремонту на 2013г. ООО "Гармония"</t>
  </si>
  <si>
    <t>ПРОЕКТ  РАСЧЕТ</t>
  </si>
  <si>
    <t>"______"____________20__ г.</t>
  </si>
  <si>
    <t xml:space="preserve">Установка приборов учета </t>
  </si>
  <si>
    <t>тарифов по установки приборов учета  
на 2 года  ООО "Содружество"</t>
  </si>
  <si>
    <t>установка приборов учета</t>
  </si>
  <si>
    <t>стоимость на год</t>
  </si>
  <si>
    <t>Изготовления новых тех паспортов</t>
  </si>
  <si>
    <t>Бакинская 19 а</t>
  </si>
  <si>
    <t>тарифов по текущему ремонту на 2014г. ООО "Гармония"</t>
  </si>
  <si>
    <t>Ремонт ограждений</t>
  </si>
  <si>
    <t>установка ламп над подъездами</t>
  </si>
  <si>
    <t>поверка приборов учета АИТП</t>
  </si>
  <si>
    <t>"УТВЕРЖДАЮ"</t>
  </si>
  <si>
    <t>Установка светильников над подъездом</t>
  </si>
  <si>
    <t>РАСЧЕТ</t>
  </si>
  <si>
    <t>тарифов по текущему ремонту с 01.04. 2014г. ООО "Содружество"</t>
  </si>
  <si>
    <t>Ремонт и замена оконных  блоков</t>
  </si>
  <si>
    <t>Ремонт и замена  дверных блоков</t>
  </si>
  <si>
    <t>Ремонт и замена дверных  блоков</t>
  </si>
  <si>
    <t>Ремонт и замена оконных блоков</t>
  </si>
  <si>
    <t>ремонт инженерных стояков замена труб</t>
  </si>
  <si>
    <t>прочие работы</t>
  </si>
  <si>
    <t>установка номерации</t>
  </si>
  <si>
    <t>Ремонт и замена дверных блоков</t>
  </si>
  <si>
    <t>ремонт инженерных сетей</t>
  </si>
  <si>
    <t>установка табличек</t>
  </si>
  <si>
    <t>тарифов по текущему ремонту на 2015г. ООО "Гармония"</t>
  </si>
  <si>
    <t>Прибалтийская27</t>
  </si>
  <si>
    <t>Прибалтийская 37</t>
  </si>
  <si>
    <t>тарифов по текущему ремонту  на 2015г. ООО "Содружество"</t>
  </si>
  <si>
    <t>Прибалтийская 27</t>
  </si>
  <si>
    <t xml:space="preserve"> РАСЧЕТ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</si>
</sst>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000000000"/>
    <numFmt numFmtId="187" formatCode="0.000000000"/>
    <numFmt numFmtId="188" formatCode="0.00000000000"/>
    <numFmt numFmtId="189" formatCode="0.0"/>
    <numFmt numFmtId="190" formatCode="#,##0.0"/>
    <numFmt numFmtId="191" formatCode="#,##0.00&quot;р.&quot;"/>
    <numFmt numFmtId="192" formatCode="[$-FC19]d\ mmmm\ yyyy\ &quot;г.&quot;"/>
    <numFmt numFmtId="193" formatCode="#,##0.000"/>
    <numFmt numFmtId="194" formatCode="#,##0.0000"/>
    <numFmt numFmtId="195" formatCode="#,##0.00000"/>
    <numFmt numFmtId="196" formatCode="#,##0.000000"/>
    <numFmt numFmtId="197" formatCode="#,##0.00_ ;\-#,##0.00\ "/>
  </numFmts>
  <fonts count="4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9"/>
      <color indexed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color indexed="10"/>
      <name val="Arial"/>
      <family val="2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0"/>
      <color indexed="10"/>
      <name val="Arial"/>
      <family val="0"/>
    </font>
    <font>
      <sz val="11"/>
      <name val="Arial"/>
      <family val="0"/>
    </font>
    <font>
      <sz val="10"/>
      <color indexed="62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85" fontId="9" fillId="3" borderId="1" xfId="0" applyNumberFormat="1" applyFont="1" applyFill="1" applyBorder="1" applyAlignment="1">
      <alignment/>
    </xf>
    <xf numFmtId="185" fontId="6" fillId="3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184" fontId="6" fillId="3" borderId="1" xfId="0" applyNumberFormat="1" applyFont="1" applyFill="1" applyBorder="1" applyAlignment="1">
      <alignment/>
    </xf>
    <xf numFmtId="184" fontId="9" fillId="3" borderId="1" xfId="0" applyNumberFormat="1" applyFont="1" applyFill="1" applyBorder="1" applyAlignment="1">
      <alignment horizontal="center"/>
    </xf>
    <xf numFmtId="184" fontId="9" fillId="3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3" borderId="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89" fontId="6" fillId="0" borderId="1" xfId="0" applyNumberFormat="1" applyFont="1" applyFill="1" applyBorder="1" applyAlignment="1">
      <alignment horizontal="center"/>
    </xf>
    <xf numFmtId="189" fontId="10" fillId="0" borderId="1" xfId="0" applyNumberFormat="1" applyFont="1" applyFill="1" applyBorder="1" applyAlignment="1">
      <alignment horizontal="center"/>
    </xf>
    <xf numFmtId="185" fontId="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85" fontId="10" fillId="0" borderId="1" xfId="0" applyNumberFormat="1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8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89" fontId="1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89" fontId="6" fillId="0" borderId="1" xfId="0" applyNumberFormat="1" applyFont="1" applyFill="1" applyBorder="1" applyAlignment="1">
      <alignment/>
    </xf>
    <xf numFmtId="189" fontId="10" fillId="0" borderId="1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89" fontId="15" fillId="0" borderId="3" xfId="0" applyNumberFormat="1" applyFont="1" applyFill="1" applyBorder="1" applyAlignment="1">
      <alignment/>
    </xf>
    <xf numFmtId="185" fontId="4" fillId="0" borderId="4" xfId="0" applyNumberFormat="1" applyFont="1" applyFill="1" applyBorder="1" applyAlignment="1">
      <alignment/>
    </xf>
    <xf numFmtId="185" fontId="9" fillId="3" borderId="2" xfId="0" applyNumberFormat="1" applyFont="1" applyFill="1" applyBorder="1" applyAlignment="1">
      <alignment/>
    </xf>
    <xf numFmtId="189" fontId="6" fillId="0" borderId="2" xfId="0" applyNumberFormat="1" applyFont="1" applyFill="1" applyBorder="1" applyAlignment="1">
      <alignment horizontal="center"/>
    </xf>
    <xf numFmtId="185" fontId="6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189" fontId="7" fillId="0" borderId="5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6" fillId="0" borderId="5" xfId="0" applyNumberFormat="1" applyFont="1" applyFill="1" applyBorder="1" applyAlignment="1">
      <alignment horizontal="center" vertical="center" textRotation="90" wrapText="1"/>
    </xf>
    <xf numFmtId="2" fontId="9" fillId="0" borderId="5" xfId="0" applyNumberFormat="1" applyFont="1" applyFill="1" applyBorder="1" applyAlignment="1">
      <alignment horizontal="center" vertical="center" textRotation="90" wrapText="1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2" fontId="12" fillId="0" borderId="1" xfId="0" applyNumberFormat="1" applyFont="1" applyFill="1" applyBorder="1" applyAlignment="1">
      <alignment/>
    </xf>
    <xf numFmtId="189" fontId="7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9" fontId="6" fillId="0" borderId="1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189" fontId="22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89" fontId="23" fillId="0" borderId="1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 vertical="center" textRotation="90" wrapText="1"/>
    </xf>
    <xf numFmtId="2" fontId="9" fillId="6" borderId="5" xfId="0" applyNumberFormat="1" applyFont="1" applyFill="1" applyBorder="1" applyAlignment="1">
      <alignment horizontal="center" vertical="center" textRotation="90" wrapText="1"/>
    </xf>
    <xf numFmtId="4" fontId="15" fillId="4" borderId="1" xfId="0" applyNumberFormat="1" applyFont="1" applyFill="1" applyBorder="1" applyAlignment="1">
      <alignment/>
    </xf>
    <xf numFmtId="4" fontId="20" fillId="4" borderId="1" xfId="0" applyNumberFormat="1" applyFont="1" applyFill="1" applyBorder="1" applyAlignment="1">
      <alignment/>
    </xf>
    <xf numFmtId="189" fontId="6" fillId="7" borderId="2" xfId="0" applyNumberFormat="1" applyFont="1" applyFill="1" applyBorder="1" applyAlignment="1">
      <alignment/>
    </xf>
    <xf numFmtId="189" fontId="6" fillId="7" borderId="1" xfId="0" applyNumberFormat="1" applyFont="1" applyFill="1" applyBorder="1" applyAlignment="1">
      <alignment/>
    </xf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/>
    </xf>
    <xf numFmtId="0" fontId="20" fillId="5" borderId="0" xfId="0" applyFont="1" applyFill="1" applyAlignment="1">
      <alignment/>
    </xf>
    <xf numFmtId="0" fontId="18" fillId="4" borderId="1" xfId="0" applyFont="1" applyFill="1" applyBorder="1" applyAlignment="1">
      <alignment horizontal="center" vertical="center" wrapText="1"/>
    </xf>
    <xf numFmtId="190" fontId="15" fillId="4" borderId="1" xfId="0" applyNumberFormat="1" applyFont="1" applyFill="1" applyBorder="1" applyAlignment="1">
      <alignment horizontal="center"/>
    </xf>
    <xf numFmtId="190" fontId="15" fillId="4" borderId="1" xfId="0" applyNumberFormat="1" applyFont="1" applyFill="1" applyBorder="1" applyAlignment="1">
      <alignment/>
    </xf>
    <xf numFmtId="4" fontId="15" fillId="4" borderId="1" xfId="0" applyNumberFormat="1" applyFont="1" applyFill="1" applyBorder="1" applyAlignment="1">
      <alignment horizontal="center"/>
    </xf>
    <xf numFmtId="0" fontId="20" fillId="4" borderId="0" xfId="0" applyFont="1" applyFill="1" applyAlignment="1">
      <alignment/>
    </xf>
    <xf numFmtId="2" fontId="18" fillId="4" borderId="1" xfId="0" applyNumberFormat="1" applyFont="1" applyFill="1" applyBorder="1" applyAlignment="1">
      <alignment horizontal="center" vertical="center" textRotation="90" wrapText="1"/>
    </xf>
    <xf numFmtId="1" fontId="18" fillId="4" borderId="1" xfId="0" applyNumberFormat="1" applyFont="1" applyFill="1" applyBorder="1" applyAlignment="1">
      <alignment horizontal="center" vertical="center" textRotation="90" wrapText="1"/>
    </xf>
    <xf numFmtId="3" fontId="15" fillId="4" borderId="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2" fontId="6" fillId="0" borderId="2" xfId="0" applyNumberFormat="1" applyFont="1" applyFill="1" applyBorder="1" applyAlignment="1">
      <alignment/>
    </xf>
    <xf numFmtId="185" fontId="6" fillId="0" borderId="2" xfId="0" applyNumberFormat="1" applyFont="1" applyFill="1" applyBorder="1" applyAlignment="1">
      <alignment/>
    </xf>
    <xf numFmtId="185" fontId="11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2" fontId="6" fillId="6" borderId="13" xfId="0" applyNumberFormat="1" applyFont="1" applyFill="1" applyBorder="1" applyAlignment="1">
      <alignment horizontal="center" vertical="center" textRotation="90" wrapText="1"/>
    </xf>
    <xf numFmtId="2" fontId="6" fillId="8" borderId="13" xfId="0" applyNumberFormat="1" applyFont="1" applyFill="1" applyBorder="1" applyAlignment="1">
      <alignment horizontal="center" vertical="center" textRotation="90" wrapText="1"/>
    </xf>
    <xf numFmtId="189" fontId="6" fillId="7" borderId="17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6" fillId="3" borderId="18" xfId="0" applyFont="1" applyFill="1" applyBorder="1" applyAlignment="1">
      <alignment horizontal="center" wrapText="1"/>
    </xf>
    <xf numFmtId="189" fontId="6" fillId="7" borderId="18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185" fontId="21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 horizontal="center"/>
    </xf>
    <xf numFmtId="185" fontId="28" fillId="0" borderId="1" xfId="0" applyNumberFormat="1" applyFont="1" applyBorder="1" applyAlignment="1">
      <alignment horizontal="center"/>
    </xf>
    <xf numFmtId="189" fontId="3" fillId="0" borderId="0" xfId="0" applyNumberFormat="1" applyFont="1" applyBorder="1" applyAlignment="1">
      <alignment horizontal="center"/>
    </xf>
    <xf numFmtId="2" fontId="22" fillId="0" borderId="2" xfId="0" applyNumberFormat="1" applyFont="1" applyFill="1" applyBorder="1" applyAlignment="1">
      <alignment/>
    </xf>
    <xf numFmtId="2" fontId="22" fillId="0" borderId="1" xfId="0" applyNumberFormat="1" applyFont="1" applyFill="1" applyBorder="1" applyAlignment="1">
      <alignment/>
    </xf>
    <xf numFmtId="0" fontId="14" fillId="4" borderId="0" xfId="0" applyFont="1" applyFill="1" applyAlignment="1">
      <alignment/>
    </xf>
    <xf numFmtId="0" fontId="29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/>
    </xf>
    <xf numFmtId="2" fontId="29" fillId="4" borderId="1" xfId="0" applyNumberFormat="1" applyFont="1" applyFill="1" applyBorder="1" applyAlignment="1">
      <alignment horizontal="center" wrapText="1"/>
    </xf>
    <xf numFmtId="2" fontId="15" fillId="4" borderId="1" xfId="0" applyNumberFormat="1" applyFont="1" applyFill="1" applyBorder="1" applyAlignment="1">
      <alignment horizontal="center"/>
    </xf>
    <xf numFmtId="185" fontId="29" fillId="4" borderId="1" xfId="0" applyNumberFormat="1" applyFont="1" applyFill="1" applyBorder="1" applyAlignment="1">
      <alignment horizontal="center" wrapText="1"/>
    </xf>
    <xf numFmtId="4" fontId="20" fillId="4" borderId="1" xfId="0" applyNumberFormat="1" applyFont="1" applyFill="1" applyBorder="1" applyAlignment="1">
      <alignment horizontal="center"/>
    </xf>
    <xf numFmtId="185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2" fontId="20" fillId="4" borderId="0" xfId="0" applyNumberFormat="1" applyFont="1" applyFill="1" applyAlignment="1">
      <alignment/>
    </xf>
    <xf numFmtId="0" fontId="29" fillId="5" borderId="1" xfId="0" applyFont="1" applyFill="1" applyBorder="1" applyAlignment="1">
      <alignment horizontal="center" vertical="center" textRotation="90" wrapText="1"/>
    </xf>
    <xf numFmtId="0" fontId="20" fillId="4" borderId="0" xfId="0" applyFont="1" applyFill="1" applyAlignment="1">
      <alignment/>
    </xf>
    <xf numFmtId="2" fontId="18" fillId="4" borderId="3" xfId="0" applyNumberFormat="1" applyFont="1" applyFill="1" applyBorder="1" applyAlignment="1">
      <alignment horizontal="center" vertical="center" textRotation="90" wrapText="1"/>
    </xf>
    <xf numFmtId="0" fontId="29" fillId="4" borderId="3" xfId="0" applyFont="1" applyFill="1" applyBorder="1" applyAlignment="1">
      <alignment horizontal="center" vertical="center" wrapText="1"/>
    </xf>
    <xf numFmtId="190" fontId="15" fillId="4" borderId="3" xfId="0" applyNumberFormat="1" applyFont="1" applyFill="1" applyBorder="1" applyAlignment="1">
      <alignment horizontal="center"/>
    </xf>
    <xf numFmtId="190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/>
    </xf>
    <xf numFmtId="190" fontId="14" fillId="4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/>
    </xf>
    <xf numFmtId="4" fontId="14" fillId="4" borderId="4" xfId="0" applyNumberFormat="1" applyFont="1" applyFill="1" applyBorder="1" applyAlignment="1">
      <alignment/>
    </xf>
    <xf numFmtId="190" fontId="14" fillId="4" borderId="1" xfId="0" applyNumberFormat="1" applyFont="1" applyFill="1" applyBorder="1" applyAlignment="1">
      <alignment/>
    </xf>
    <xf numFmtId="2" fontId="19" fillId="5" borderId="1" xfId="0" applyNumberFormat="1" applyFont="1" applyFill="1" applyBorder="1" applyAlignment="1">
      <alignment horizontal="center" vertical="center" textRotation="90" wrapText="1"/>
    </xf>
    <xf numFmtId="2" fontId="18" fillId="5" borderId="1" xfId="0" applyNumberFormat="1" applyFont="1" applyFill="1" applyBorder="1" applyAlignment="1">
      <alignment horizontal="center" vertical="center" textRotation="90" wrapText="1"/>
    </xf>
    <xf numFmtId="2" fontId="26" fillId="5" borderId="1" xfId="0" applyNumberFormat="1" applyFont="1" applyFill="1" applyBorder="1" applyAlignment="1">
      <alignment horizontal="center" vertical="center" textRotation="90" wrapText="1"/>
    </xf>
    <xf numFmtId="2" fontId="27" fillId="5" borderId="1" xfId="0" applyNumberFormat="1" applyFont="1" applyFill="1" applyBorder="1" applyAlignment="1">
      <alignment horizontal="center" vertical="center" textRotation="90" wrapText="1"/>
    </xf>
    <xf numFmtId="191" fontId="19" fillId="5" borderId="1" xfId="0" applyNumberFormat="1" applyFont="1" applyFill="1" applyBorder="1" applyAlignment="1">
      <alignment vertical="center" textRotation="90" wrapText="1"/>
    </xf>
    <xf numFmtId="2" fontId="27" fillId="5" borderId="1" xfId="0" applyNumberFormat="1" applyFont="1" applyFill="1" applyBorder="1" applyAlignment="1">
      <alignment vertical="center" textRotation="90" wrapText="1"/>
    </xf>
    <xf numFmtId="0" fontId="14" fillId="5" borderId="1" xfId="0" applyFont="1" applyFill="1" applyBorder="1" applyAlignment="1">
      <alignment horizontal="center" vertical="center" textRotation="90" wrapText="1"/>
    </xf>
    <xf numFmtId="2" fontId="14" fillId="5" borderId="1" xfId="0" applyNumberFormat="1" applyFont="1" applyFill="1" applyBorder="1" applyAlignment="1">
      <alignment horizontal="center" vertical="center" textRotation="90" wrapText="1"/>
    </xf>
    <xf numFmtId="2" fontId="29" fillId="5" borderId="1" xfId="0" applyNumberFormat="1" applyFont="1" applyFill="1" applyBorder="1" applyAlignment="1">
      <alignment horizontal="center" vertical="center" textRotation="90" wrapText="1"/>
    </xf>
    <xf numFmtId="0" fontId="20" fillId="9" borderId="1" xfId="0" applyFont="1" applyFill="1" applyBorder="1" applyAlignment="1">
      <alignment horizontal="center" vertical="center" wrapText="1"/>
    </xf>
    <xf numFmtId="2" fontId="29" fillId="9" borderId="1" xfId="0" applyNumberFormat="1" applyFont="1" applyFill="1" applyBorder="1" applyAlignment="1">
      <alignment horizontal="center" vertical="center" textRotation="90" wrapText="1"/>
    </xf>
    <xf numFmtId="2" fontId="20" fillId="9" borderId="1" xfId="0" applyNumberFormat="1" applyFont="1" applyFill="1" applyBorder="1" applyAlignment="1">
      <alignment horizontal="center"/>
    </xf>
    <xf numFmtId="190" fontId="15" fillId="2" borderId="1" xfId="0" applyNumberFormat="1" applyFont="1" applyFill="1" applyBorder="1" applyAlignment="1">
      <alignment horizontal="center"/>
    </xf>
    <xf numFmtId="190" fontId="15" fillId="10" borderId="1" xfId="0" applyNumberFormat="1" applyFont="1" applyFill="1" applyBorder="1" applyAlignment="1">
      <alignment horizontal="center"/>
    </xf>
    <xf numFmtId="190" fontId="15" fillId="10" borderId="1" xfId="0" applyNumberFormat="1" applyFont="1" applyFill="1" applyBorder="1" applyAlignment="1">
      <alignment/>
    </xf>
    <xf numFmtId="2" fontId="20" fillId="10" borderId="1" xfId="0" applyNumberFormat="1" applyFont="1" applyFill="1" applyBorder="1" applyAlignment="1">
      <alignment horizontal="center"/>
    </xf>
    <xf numFmtId="190" fontId="15" fillId="10" borderId="3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190" fontId="14" fillId="4" borderId="1" xfId="0" applyNumberFormat="1" applyFont="1" applyFill="1" applyBorder="1" applyAlignment="1">
      <alignment/>
    </xf>
    <xf numFmtId="0" fontId="29" fillId="0" borderId="1" xfId="0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190" fontId="14" fillId="4" borderId="4" xfId="0" applyNumberFormat="1" applyFont="1" applyFill="1" applyBorder="1" applyAlignment="1">
      <alignment/>
    </xf>
    <xf numFmtId="2" fontId="14" fillId="4" borderId="4" xfId="0" applyNumberFormat="1" applyFont="1" applyFill="1" applyBorder="1" applyAlignment="1">
      <alignment horizontal="center"/>
    </xf>
    <xf numFmtId="190" fontId="14" fillId="4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0" fillId="4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0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90" fontId="20" fillId="4" borderId="3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/>
    </xf>
    <xf numFmtId="2" fontId="15" fillId="10" borderId="1" xfId="0" applyNumberFormat="1" applyFont="1" applyFill="1" applyBorder="1" applyAlignment="1">
      <alignment/>
    </xf>
    <xf numFmtId="2" fontId="31" fillId="7" borderId="1" xfId="0" applyNumberFormat="1" applyFont="1" applyFill="1" applyBorder="1" applyAlignment="1">
      <alignment horizontal="center" vertical="center" textRotation="90" wrapText="1"/>
    </xf>
    <xf numFmtId="185" fontId="15" fillId="4" borderId="1" xfId="0" applyNumberFormat="1" applyFont="1" applyFill="1" applyBorder="1" applyAlignment="1">
      <alignment/>
    </xf>
    <xf numFmtId="0" fontId="16" fillId="4" borderId="4" xfId="0" applyFont="1" applyFill="1" applyBorder="1" applyAlignment="1">
      <alignment/>
    </xf>
    <xf numFmtId="0" fontId="25" fillId="4" borderId="0" xfId="0" applyFont="1" applyFill="1" applyAlignment="1">
      <alignment horizontal="center"/>
    </xf>
    <xf numFmtId="4" fontId="14" fillId="4" borderId="4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 textRotation="90" wrapText="1"/>
    </xf>
    <xf numFmtId="4" fontId="15" fillId="4" borderId="3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 wrapText="1"/>
    </xf>
    <xf numFmtId="2" fontId="29" fillId="10" borderId="1" xfId="0" applyNumberFormat="1" applyFont="1" applyFill="1" applyBorder="1" applyAlignment="1">
      <alignment horizontal="center" vertical="center" textRotation="90" wrapText="1"/>
    </xf>
    <xf numFmtId="4" fontId="16" fillId="4" borderId="4" xfId="0" applyNumberFormat="1" applyFont="1" applyFill="1" applyBorder="1" applyAlignment="1">
      <alignment/>
    </xf>
    <xf numFmtId="190" fontId="16" fillId="4" borderId="4" xfId="0" applyNumberFormat="1" applyFont="1" applyFill="1" applyBorder="1" applyAlignment="1">
      <alignment horizontal="center"/>
    </xf>
    <xf numFmtId="193" fontId="15" fillId="4" borderId="1" xfId="0" applyNumberFormat="1" applyFont="1" applyFill="1" applyBorder="1" applyAlignment="1">
      <alignment/>
    </xf>
    <xf numFmtId="2" fontId="14" fillId="11" borderId="1" xfId="0" applyNumberFormat="1" applyFont="1" applyFill="1" applyBorder="1" applyAlignment="1">
      <alignment horizontal="center" vertical="center" textRotation="90" wrapText="1"/>
    </xf>
    <xf numFmtId="185" fontId="15" fillId="4" borderId="1" xfId="0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/>
    </xf>
    <xf numFmtId="2" fontId="14" fillId="4" borderId="1" xfId="0" applyNumberFormat="1" applyFont="1" applyFill="1" applyBorder="1" applyAlignment="1">
      <alignment horizontal="center" vertical="center" textRotation="90" wrapText="1"/>
    </xf>
    <xf numFmtId="0" fontId="0" fillId="4" borderId="0" xfId="0" applyFill="1" applyAlignment="1">
      <alignment/>
    </xf>
    <xf numFmtId="0" fontId="32" fillId="4" borderId="11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2" fillId="10" borderId="12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2" fontId="18" fillId="4" borderId="0" xfId="0" applyNumberFormat="1" applyFont="1" applyFill="1" applyBorder="1" applyAlignment="1">
      <alignment horizontal="center" vertical="center" textRotation="90" wrapText="1"/>
    </xf>
    <xf numFmtId="0" fontId="29" fillId="4" borderId="0" xfId="0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/>
    </xf>
    <xf numFmtId="190" fontId="14" fillId="4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3" fontId="14" fillId="4" borderId="4" xfId="0" applyNumberFormat="1" applyFont="1" applyFill="1" applyBorder="1" applyAlignment="1">
      <alignment/>
    </xf>
    <xf numFmtId="2" fontId="20" fillId="10" borderId="4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/>
    </xf>
    <xf numFmtId="4" fontId="0" fillId="4" borderId="1" xfId="0" applyNumberFormat="1" applyFill="1" applyBorder="1" applyAlignment="1">
      <alignment/>
    </xf>
    <xf numFmtId="190" fontId="14" fillId="4" borderId="3" xfId="0" applyNumberFormat="1" applyFont="1" applyFill="1" applyBorder="1" applyAlignment="1">
      <alignment/>
    </xf>
    <xf numFmtId="190" fontId="14" fillId="4" borderId="10" xfId="0" applyNumberFormat="1" applyFont="1" applyFill="1" applyBorder="1" applyAlignment="1">
      <alignment/>
    </xf>
    <xf numFmtId="2" fontId="29" fillId="4" borderId="1" xfId="0" applyNumberFormat="1" applyFont="1" applyFill="1" applyBorder="1" applyAlignment="1">
      <alignment horizontal="center" vertical="center" textRotation="90" wrapText="1"/>
    </xf>
    <xf numFmtId="2" fontId="19" fillId="4" borderId="1" xfId="0" applyNumberFormat="1" applyFont="1" applyFill="1" applyBorder="1" applyAlignment="1">
      <alignment horizontal="center" vertical="center" textRotation="90" wrapText="1"/>
    </xf>
    <xf numFmtId="2" fontId="27" fillId="4" borderId="1" xfId="0" applyNumberFormat="1" applyFont="1" applyFill="1" applyBorder="1" applyAlignment="1">
      <alignment horizontal="center" vertical="center" textRotation="90" wrapText="1"/>
    </xf>
    <xf numFmtId="2" fontId="27" fillId="4" borderId="1" xfId="0" applyNumberFormat="1" applyFont="1" applyFill="1" applyBorder="1" applyAlignment="1">
      <alignment vertical="center" textRotation="90" wrapText="1"/>
    </xf>
    <xf numFmtId="2" fontId="19" fillId="11" borderId="1" xfId="0" applyNumberFormat="1" applyFont="1" applyFill="1" applyBorder="1" applyAlignment="1">
      <alignment horizontal="center" vertical="center" textRotation="90" wrapText="1"/>
    </xf>
    <xf numFmtId="191" fontId="19" fillId="11" borderId="1" xfId="0" applyNumberFormat="1" applyFont="1" applyFill="1" applyBorder="1" applyAlignment="1">
      <alignment vertical="center" textRotation="90" wrapText="1"/>
    </xf>
    <xf numFmtId="2" fontId="26" fillId="11" borderId="1" xfId="0" applyNumberFormat="1" applyFont="1" applyFill="1" applyBorder="1" applyAlignment="1">
      <alignment horizontal="center" vertical="center" textRotation="90" wrapText="1"/>
    </xf>
    <xf numFmtId="0" fontId="19" fillId="11" borderId="1" xfId="0" applyFont="1" applyFill="1" applyBorder="1" applyAlignment="1">
      <alignment horizontal="center" vertical="center" textRotation="90" wrapText="1"/>
    </xf>
    <xf numFmtId="0" fontId="29" fillId="4" borderId="1" xfId="0" applyFont="1" applyFill="1" applyBorder="1" applyAlignment="1">
      <alignment horizontal="center" vertical="center" textRotation="90" wrapText="1"/>
    </xf>
    <xf numFmtId="190" fontId="30" fillId="4" borderId="1" xfId="0" applyNumberFormat="1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 vertical="center" textRotation="89" wrapText="1"/>
    </xf>
    <xf numFmtId="0" fontId="19" fillId="7" borderId="1" xfId="0" applyFont="1" applyFill="1" applyBorder="1" applyAlignment="1">
      <alignment horizontal="center" vertical="center" textRotation="90" wrapText="1"/>
    </xf>
    <xf numFmtId="2" fontId="19" fillId="7" borderId="1" xfId="0" applyNumberFormat="1" applyFont="1" applyFill="1" applyBorder="1" applyAlignment="1">
      <alignment horizontal="center" vertical="center" textRotation="90" wrapText="1"/>
    </xf>
    <xf numFmtId="0" fontId="14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2" fontId="20" fillId="4" borderId="0" xfId="0" applyNumberFormat="1" applyFont="1" applyFill="1" applyBorder="1" applyAlignment="1">
      <alignment/>
    </xf>
    <xf numFmtId="0" fontId="20" fillId="4" borderId="0" xfId="0" applyFont="1" applyFill="1" applyBorder="1" applyAlignment="1">
      <alignment/>
    </xf>
    <xf numFmtId="2" fontId="18" fillId="10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43" fontId="15" fillId="4" borderId="1" xfId="0" applyNumberFormat="1" applyFont="1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4" xfId="0" applyNumberFormat="1" applyBorder="1" applyAlignment="1">
      <alignment/>
    </xf>
    <xf numFmtId="2" fontId="14" fillId="4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0" fontId="14" fillId="4" borderId="0" xfId="0" applyFont="1" applyFill="1" applyAlignment="1">
      <alignment/>
    </xf>
    <xf numFmtId="0" fontId="36" fillId="4" borderId="1" xfId="0" applyFont="1" applyFill="1" applyBorder="1" applyAlignment="1">
      <alignment/>
    </xf>
    <xf numFmtId="2" fontId="36" fillId="4" borderId="1" xfId="0" applyNumberFormat="1" applyFont="1" applyFill="1" applyBorder="1" applyAlignment="1">
      <alignment horizontal="center"/>
    </xf>
    <xf numFmtId="2" fontId="36" fillId="4" borderId="1" xfId="0" applyNumberFormat="1" applyFont="1" applyFill="1" applyBorder="1" applyAlignment="1">
      <alignment/>
    </xf>
    <xf numFmtId="2" fontId="36" fillId="10" borderId="1" xfId="0" applyNumberFormat="1" applyFont="1" applyFill="1" applyBorder="1" applyAlignment="1">
      <alignment/>
    </xf>
    <xf numFmtId="2" fontId="14" fillId="3" borderId="1" xfId="0" applyNumberFormat="1" applyFont="1" applyFill="1" applyBorder="1" applyAlignment="1">
      <alignment horizontal="center" vertical="center" textRotation="90" wrapText="1"/>
    </xf>
    <xf numFmtId="2" fontId="18" fillId="3" borderId="1" xfId="0" applyNumberFormat="1" applyFont="1" applyFill="1" applyBorder="1" applyAlignment="1">
      <alignment horizontal="center" vertical="center" textRotation="90" wrapText="1"/>
    </xf>
    <xf numFmtId="2" fontId="18" fillId="12" borderId="1" xfId="0" applyNumberFormat="1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/>
    </xf>
    <xf numFmtId="2" fontId="16" fillId="0" borderId="4" xfId="0" applyNumberFormat="1" applyFont="1" applyFill="1" applyBorder="1" applyAlignment="1">
      <alignment/>
    </xf>
    <xf numFmtId="4" fontId="15" fillId="4" borderId="4" xfId="0" applyNumberFormat="1" applyFont="1" applyFill="1" applyBorder="1" applyAlignment="1">
      <alignment/>
    </xf>
    <xf numFmtId="4" fontId="15" fillId="4" borderId="4" xfId="0" applyNumberFormat="1" applyFont="1" applyFill="1" applyBorder="1" applyAlignment="1">
      <alignment horizontal="center"/>
    </xf>
    <xf numFmtId="190" fontId="15" fillId="4" borderId="4" xfId="0" applyNumberFormat="1" applyFont="1" applyFill="1" applyBorder="1" applyAlignment="1">
      <alignment horizontal="center"/>
    </xf>
    <xf numFmtId="193" fontId="15" fillId="4" borderId="4" xfId="0" applyNumberFormat="1" applyFont="1" applyFill="1" applyBorder="1" applyAlignment="1">
      <alignment/>
    </xf>
    <xf numFmtId="2" fontId="15" fillId="4" borderId="4" xfId="0" applyNumberFormat="1" applyFont="1" applyFill="1" applyBorder="1" applyAlignment="1">
      <alignment horizontal="center"/>
    </xf>
    <xf numFmtId="190" fontId="15" fillId="4" borderId="4" xfId="0" applyNumberFormat="1" applyFont="1" applyFill="1" applyBorder="1" applyAlignment="1">
      <alignment/>
    </xf>
    <xf numFmtId="2" fontId="15" fillId="4" borderId="0" xfId="0" applyNumberFormat="1" applyFont="1" applyFill="1" applyBorder="1" applyAlignment="1">
      <alignment horizontal="center"/>
    </xf>
    <xf numFmtId="190" fontId="15" fillId="4" borderId="10" xfId="0" applyNumberFormat="1" applyFont="1" applyFill="1" applyBorder="1" applyAlignment="1">
      <alignment horizontal="center"/>
    </xf>
    <xf numFmtId="0" fontId="36" fillId="4" borderId="4" xfId="0" applyFont="1" applyFill="1" applyBorder="1" applyAlignment="1">
      <alignment/>
    </xf>
    <xf numFmtId="2" fontId="36" fillId="4" borderId="4" xfId="0" applyNumberFormat="1" applyFont="1" applyFill="1" applyBorder="1" applyAlignment="1">
      <alignment horizontal="center"/>
    </xf>
    <xf numFmtId="2" fontId="36" fillId="4" borderId="4" xfId="0" applyNumberFormat="1" applyFont="1" applyFill="1" applyBorder="1" applyAlignment="1">
      <alignment/>
    </xf>
    <xf numFmtId="2" fontId="15" fillId="4" borderId="4" xfId="0" applyNumberFormat="1" applyFont="1" applyFill="1" applyBorder="1" applyAlignment="1">
      <alignment/>
    </xf>
    <xf numFmtId="0" fontId="18" fillId="7" borderId="1" xfId="0" applyFont="1" applyFill="1" applyBorder="1" applyAlignment="1">
      <alignment horizontal="center" vertical="center" textRotation="90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textRotation="90" wrapText="1"/>
    </xf>
    <xf numFmtId="185" fontId="14" fillId="4" borderId="1" xfId="0" applyNumberFormat="1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/>
    </xf>
    <xf numFmtId="2" fontId="37" fillId="4" borderId="1" xfId="0" applyNumberFormat="1" applyFont="1" applyFill="1" applyBorder="1" applyAlignment="1">
      <alignment/>
    </xf>
    <xf numFmtId="2" fontId="37" fillId="4" borderId="4" xfId="0" applyNumberFormat="1" applyFont="1" applyFill="1" applyBorder="1" applyAlignment="1">
      <alignment/>
    </xf>
    <xf numFmtId="2" fontId="20" fillId="2" borderId="1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 vertical="center" textRotation="90" wrapText="1"/>
    </xf>
    <xf numFmtId="2" fontId="18" fillId="7" borderId="1" xfId="0" applyNumberFormat="1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38" fillId="0" borderId="4" xfId="0" applyFont="1" applyFill="1" applyBorder="1" applyAlignment="1">
      <alignment/>
    </xf>
    <xf numFmtId="43" fontId="15" fillId="4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center" vertical="center" textRotation="90" wrapText="1"/>
    </xf>
    <xf numFmtId="2" fontId="31" fillId="4" borderId="1" xfId="0" applyNumberFormat="1" applyFont="1" applyFill="1" applyBorder="1" applyAlignment="1">
      <alignment horizontal="center" vertical="center" textRotation="90" wrapText="1"/>
    </xf>
    <xf numFmtId="2" fontId="16" fillId="4" borderId="4" xfId="0" applyNumberFormat="1" applyFont="1" applyFill="1" applyBorder="1" applyAlignment="1">
      <alignment/>
    </xf>
    <xf numFmtId="4" fontId="40" fillId="4" borderId="3" xfId="0" applyNumberFormat="1" applyFont="1" applyFill="1" applyBorder="1" applyAlignment="1">
      <alignment/>
    </xf>
    <xf numFmtId="190" fontId="40" fillId="4" borderId="3" xfId="0" applyNumberFormat="1" applyFont="1" applyFill="1" applyBorder="1" applyAlignment="1">
      <alignment/>
    </xf>
    <xf numFmtId="2" fontId="40" fillId="4" borderId="1" xfId="0" applyNumberFormat="1" applyFont="1" applyFill="1" applyBorder="1" applyAlignment="1">
      <alignment horizontal="center"/>
    </xf>
    <xf numFmtId="2" fontId="41" fillId="4" borderId="1" xfId="0" applyNumberFormat="1" applyFont="1" applyFill="1" applyBorder="1" applyAlignment="1">
      <alignment horizontal="center" vertical="center" textRotation="90" wrapText="1"/>
    </xf>
    <xf numFmtId="2" fontId="40" fillId="4" borderId="1" xfId="0" applyNumberFormat="1" applyFont="1" applyFill="1" applyBorder="1" applyAlignment="1">
      <alignment horizontal="center" vertical="center" textRotation="90" wrapText="1"/>
    </xf>
    <xf numFmtId="2" fontId="41" fillId="4" borderId="3" xfId="0" applyNumberFormat="1" applyFont="1" applyFill="1" applyBorder="1" applyAlignment="1">
      <alignment horizontal="center" vertical="center" textRotation="90" wrapText="1"/>
    </xf>
    <xf numFmtId="2" fontId="42" fillId="4" borderId="1" xfId="0" applyNumberFormat="1" applyFont="1" applyFill="1" applyBorder="1" applyAlignment="1">
      <alignment horizontal="center" vertical="center" textRotation="90" wrapText="1"/>
    </xf>
    <xf numFmtId="185" fontId="40" fillId="4" borderId="1" xfId="0" applyNumberFormat="1" applyFont="1" applyFill="1" applyBorder="1" applyAlignment="1">
      <alignment horizontal="center" vertical="center" textRotation="90" wrapText="1"/>
    </xf>
    <xf numFmtId="0" fontId="40" fillId="4" borderId="1" xfId="0" applyFont="1" applyFill="1" applyBorder="1" applyAlignment="1">
      <alignment horizontal="center" vertical="center" wrapText="1"/>
    </xf>
    <xf numFmtId="2" fontId="43" fillId="4" borderId="1" xfId="0" applyNumberFormat="1" applyFont="1" applyFill="1" applyBorder="1" applyAlignment="1">
      <alignment horizontal="center" vertical="center" textRotation="90" wrapText="1"/>
    </xf>
    <xf numFmtId="0" fontId="41" fillId="4" borderId="1" xfId="0" applyFont="1" applyFill="1" applyBorder="1" applyAlignment="1">
      <alignment horizontal="center" vertical="center" textRotation="90" wrapText="1"/>
    </xf>
    <xf numFmtId="0" fontId="43" fillId="4" borderId="1" xfId="0" applyFont="1" applyFill="1" applyBorder="1" applyAlignment="1">
      <alignment horizontal="center" vertical="center" textRotation="90" wrapText="1"/>
    </xf>
    <xf numFmtId="191" fontId="43" fillId="4" borderId="1" xfId="0" applyNumberFormat="1" applyFont="1" applyFill="1" applyBorder="1" applyAlignment="1">
      <alignment vertical="center" textRotation="90" wrapText="1"/>
    </xf>
    <xf numFmtId="1" fontId="41" fillId="4" borderId="1" xfId="0" applyNumberFormat="1" applyFont="1" applyFill="1" applyBorder="1" applyAlignment="1">
      <alignment horizontal="center" vertical="center" textRotation="90" wrapText="1"/>
    </xf>
    <xf numFmtId="184" fontId="15" fillId="4" borderId="1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4" borderId="0" xfId="0" applyFont="1" applyFill="1" applyAlignment="1">
      <alignment/>
    </xf>
    <xf numFmtId="0" fontId="44" fillId="4" borderId="4" xfId="0" applyFont="1" applyFill="1" applyBorder="1" applyAlignment="1">
      <alignment/>
    </xf>
    <xf numFmtId="4" fontId="44" fillId="4" borderId="4" xfId="0" applyNumberFormat="1" applyFont="1" applyFill="1" applyBorder="1" applyAlignment="1">
      <alignment/>
    </xf>
    <xf numFmtId="4" fontId="45" fillId="4" borderId="4" xfId="0" applyNumberFormat="1" applyFont="1" applyFill="1" applyBorder="1" applyAlignment="1">
      <alignment/>
    </xf>
    <xf numFmtId="190" fontId="45" fillId="4" borderId="4" xfId="0" applyNumberFormat="1" applyFont="1" applyFill="1" applyBorder="1" applyAlignment="1">
      <alignment horizontal="center"/>
    </xf>
    <xf numFmtId="190" fontId="44" fillId="4" borderId="4" xfId="0" applyNumberFormat="1" applyFont="1" applyFill="1" applyBorder="1" applyAlignment="1">
      <alignment horizontal="center"/>
    </xf>
    <xf numFmtId="190" fontId="44" fillId="4" borderId="4" xfId="0" applyNumberFormat="1" applyFont="1" applyFill="1" applyBorder="1" applyAlignment="1">
      <alignment/>
    </xf>
    <xf numFmtId="2" fontId="44" fillId="4" borderId="4" xfId="0" applyNumberFormat="1" applyFont="1" applyFill="1" applyBorder="1" applyAlignment="1">
      <alignment horizontal="center"/>
    </xf>
    <xf numFmtId="190" fontId="44" fillId="4" borderId="4" xfId="0" applyNumberFormat="1" applyFont="1" applyFill="1" applyBorder="1" applyAlignment="1">
      <alignment/>
    </xf>
    <xf numFmtId="190" fontId="44" fillId="4" borderId="0" xfId="0" applyNumberFormat="1" applyFont="1" applyFill="1" applyBorder="1" applyAlignment="1">
      <alignment horizontal="center"/>
    </xf>
    <xf numFmtId="0" fontId="44" fillId="4" borderId="0" xfId="0" applyFont="1" applyFill="1" applyAlignment="1">
      <alignment/>
    </xf>
    <xf numFmtId="2" fontId="44" fillId="4" borderId="4" xfId="0" applyNumberFormat="1" applyFont="1" applyFill="1" applyBorder="1" applyAlignment="1">
      <alignment/>
    </xf>
    <xf numFmtId="0" fontId="18" fillId="4" borderId="4" xfId="0" applyFont="1" applyFill="1" applyBorder="1" applyAlignment="1">
      <alignment/>
    </xf>
    <xf numFmtId="2" fontId="19" fillId="10" borderId="1" xfId="0" applyNumberFormat="1" applyFont="1" applyFill="1" applyBorder="1" applyAlignment="1">
      <alignment horizontal="center" vertical="center" textRotation="90" wrapText="1"/>
    </xf>
    <xf numFmtId="0" fontId="19" fillId="10" borderId="1" xfId="0" applyFont="1" applyFill="1" applyBorder="1" applyAlignment="1">
      <alignment horizontal="center" vertical="center" textRotation="90" wrapText="1"/>
    </xf>
    <xf numFmtId="2" fontId="26" fillId="10" borderId="1" xfId="0" applyNumberFormat="1" applyFont="1" applyFill="1" applyBorder="1" applyAlignment="1">
      <alignment horizontal="center" vertical="center" textRotation="90" wrapText="1"/>
    </xf>
    <xf numFmtId="191" fontId="19" fillId="10" borderId="1" xfId="0" applyNumberFormat="1" applyFont="1" applyFill="1" applyBorder="1" applyAlignment="1">
      <alignment vertical="center" textRotation="90" wrapText="1"/>
    </xf>
    <xf numFmtId="1" fontId="18" fillId="10" borderId="1" xfId="0" applyNumberFormat="1" applyFont="1" applyFill="1" applyBorder="1" applyAlignment="1">
      <alignment horizontal="center" vertical="center" textRotation="90" wrapText="1"/>
    </xf>
    <xf numFmtId="2" fontId="14" fillId="10" borderId="1" xfId="0" applyNumberFormat="1" applyFont="1" applyFill="1" applyBorder="1" applyAlignment="1">
      <alignment horizontal="center" vertical="center" textRotation="90" wrapText="1"/>
    </xf>
    <xf numFmtId="0" fontId="14" fillId="4" borderId="0" xfId="0" applyFont="1" applyFill="1" applyAlignment="1">
      <alignment horizontal="left"/>
    </xf>
    <xf numFmtId="0" fontId="20" fillId="4" borderId="14" xfId="0" applyFont="1" applyFill="1" applyBorder="1" applyAlignment="1">
      <alignment horizontal="center"/>
    </xf>
    <xf numFmtId="189" fontId="38" fillId="0" borderId="1" xfId="0" applyNumberFormat="1" applyFont="1" applyFill="1" applyBorder="1" applyAlignment="1">
      <alignment/>
    </xf>
    <xf numFmtId="189" fontId="38" fillId="0" borderId="4" xfId="0" applyNumberFormat="1" applyFont="1" applyFill="1" applyBorder="1" applyAlignment="1">
      <alignment/>
    </xf>
    <xf numFmtId="2" fontId="38" fillId="0" borderId="1" xfId="0" applyNumberFormat="1" applyFont="1" applyFill="1" applyBorder="1" applyAlignment="1">
      <alignment/>
    </xf>
    <xf numFmtId="4" fontId="40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/>
    </xf>
    <xf numFmtId="2" fontId="18" fillId="4" borderId="1" xfId="0" applyNumberFormat="1" applyFont="1" applyFill="1" applyBorder="1" applyAlignment="1">
      <alignment/>
    </xf>
    <xf numFmtId="2" fontId="18" fillId="4" borderId="4" xfId="0" applyNumberFormat="1" applyFont="1" applyFill="1" applyBorder="1" applyAlignment="1">
      <alignment/>
    </xf>
    <xf numFmtId="2" fontId="40" fillId="4" borderId="3" xfId="0" applyNumberFormat="1" applyFont="1" applyFill="1" applyBorder="1" applyAlignment="1">
      <alignment horizontal="center"/>
    </xf>
    <xf numFmtId="2" fontId="44" fillId="4" borderId="10" xfId="0" applyNumberFormat="1" applyFont="1" applyFill="1" applyBorder="1" applyAlignment="1">
      <alignment/>
    </xf>
    <xf numFmtId="0" fontId="6" fillId="5" borderId="21" xfId="0" applyFont="1" applyFill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horizontal="center"/>
    </xf>
    <xf numFmtId="189" fontId="12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2" fontId="6" fillId="0" borderId="22" xfId="0" applyNumberFormat="1" applyFont="1" applyFill="1" applyBorder="1" applyAlignment="1">
      <alignment horizontal="center" vertical="center" textRotation="90" wrapText="1"/>
    </xf>
    <xf numFmtId="2" fontId="6" fillId="0" borderId="23" xfId="0" applyNumberFormat="1" applyFont="1" applyFill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0" fontId="25" fillId="4" borderId="0" xfId="0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 vertical="center" textRotation="90" wrapText="1"/>
    </xf>
    <xf numFmtId="0" fontId="20" fillId="4" borderId="3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25" fillId="4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5" fillId="4" borderId="0" xfId="0" applyFont="1" applyFill="1" applyAlignment="1">
      <alignment horizontal="center"/>
    </xf>
    <xf numFmtId="0" fontId="25" fillId="4" borderId="2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79"/>
  <sheetViews>
    <sheetView workbookViewId="0" topLeftCell="A1">
      <selection activeCell="J26" sqref="J26"/>
    </sheetView>
  </sheetViews>
  <sheetFormatPr defaultColWidth="9.140625" defaultRowHeight="12.75"/>
  <cols>
    <col min="1" max="1" width="4.7109375" style="40" customWidth="1"/>
    <col min="2" max="2" width="17.28125" style="40" customWidth="1"/>
    <col min="3" max="3" width="4.421875" style="2" hidden="1" customWidth="1"/>
    <col min="4" max="4" width="4.421875" style="40" hidden="1" customWidth="1"/>
    <col min="5" max="5" width="5.421875" style="40" hidden="1" customWidth="1"/>
    <col min="6" max="6" width="6.421875" style="2" hidden="1" customWidth="1"/>
    <col min="7" max="7" width="7.7109375" style="2" hidden="1" customWidth="1"/>
    <col min="8" max="8" width="9.7109375" style="40" customWidth="1"/>
    <col min="9" max="9" width="0.2890625" style="9" hidden="1" customWidth="1"/>
    <col min="10" max="10" width="5.57421875" style="11" customWidth="1"/>
    <col min="11" max="11" width="8.8515625" style="11" customWidth="1"/>
    <col min="12" max="12" width="13.57421875" style="9" hidden="1" customWidth="1"/>
    <col min="13" max="13" width="6.00390625" style="40" customWidth="1"/>
    <col min="14" max="14" width="7.57421875" style="12" customWidth="1"/>
    <col min="15" max="15" width="11.57421875" style="2" hidden="1" customWidth="1"/>
    <col min="16" max="16" width="7.140625" style="11" customWidth="1"/>
    <col min="17" max="17" width="7.28125" style="11" customWidth="1"/>
    <col min="18" max="18" width="11.28125" style="2" hidden="1" customWidth="1"/>
    <col min="19" max="19" width="5.140625" style="11" customWidth="1"/>
    <col min="20" max="20" width="7.8515625" style="11" customWidth="1"/>
    <col min="21" max="21" width="0.85546875" style="2" hidden="1" customWidth="1"/>
    <col min="22" max="22" width="6.57421875" style="11" customWidth="1"/>
    <col min="23" max="23" width="9.421875" style="11" customWidth="1"/>
    <col min="24" max="24" width="12.57421875" style="2" hidden="1" customWidth="1"/>
    <col min="25" max="25" width="6.8515625" style="11" customWidth="1"/>
    <col min="26" max="26" width="9.00390625" style="11" customWidth="1"/>
    <col min="27" max="27" width="12.140625" style="2" hidden="1" customWidth="1"/>
    <col min="28" max="28" width="5.28125" style="11" customWidth="1"/>
    <col min="29" max="29" width="7.57421875" style="40" customWidth="1"/>
    <col min="30" max="30" width="7.421875" style="11" hidden="1" customWidth="1"/>
    <col min="31" max="31" width="4.421875" style="111" customWidth="1"/>
    <col min="32" max="33" width="5.28125" style="40" customWidth="1"/>
    <col min="34" max="34" width="10.421875" style="40" customWidth="1"/>
    <col min="35" max="35" width="11.28125" style="12" customWidth="1"/>
    <col min="36" max="36" width="11.8515625" style="12" customWidth="1"/>
    <col min="37" max="16384" width="9.140625" style="2" customWidth="1"/>
  </cols>
  <sheetData>
    <row r="1" spans="1:36" s="29" customFormat="1" ht="12.75">
      <c r="A1" s="35" t="s">
        <v>81</v>
      </c>
      <c r="B1" s="35"/>
      <c r="D1" s="35"/>
      <c r="E1" s="35"/>
      <c r="H1" s="35"/>
      <c r="I1" s="30"/>
      <c r="J1" s="31"/>
      <c r="K1" s="31"/>
      <c r="L1" s="30"/>
      <c r="M1" s="35"/>
      <c r="N1" s="32"/>
      <c r="P1" s="31"/>
      <c r="Q1" s="31"/>
      <c r="S1" s="31"/>
      <c r="T1" s="31"/>
      <c r="V1" s="31"/>
      <c r="W1" s="31"/>
      <c r="Y1" s="31"/>
      <c r="Z1" s="31"/>
      <c r="AB1" s="31"/>
      <c r="AC1" s="35"/>
      <c r="AD1" s="31"/>
      <c r="AE1" s="110"/>
      <c r="AF1" s="35"/>
      <c r="AG1" s="35"/>
      <c r="AH1" s="35"/>
      <c r="AI1" s="32"/>
      <c r="AJ1" s="32"/>
    </row>
    <row r="2" spans="1:8" ht="12.75">
      <c r="A2" s="35" t="s">
        <v>82</v>
      </c>
      <c r="B2" s="35"/>
      <c r="C2" s="29"/>
      <c r="D2" s="35"/>
      <c r="E2" s="35"/>
      <c r="F2" s="29"/>
      <c r="G2" s="29"/>
      <c r="H2" s="35"/>
    </row>
    <row r="3" ht="12.75">
      <c r="N3" s="11"/>
    </row>
    <row r="4" spans="1:31" ht="12.75">
      <c r="A4" s="377" t="s">
        <v>83</v>
      </c>
      <c r="B4" s="377"/>
      <c r="C4" s="378"/>
      <c r="D4" s="377"/>
      <c r="E4" s="377"/>
      <c r="F4" s="13"/>
      <c r="G4" s="13"/>
      <c r="H4" s="42"/>
      <c r="I4" s="14"/>
      <c r="J4" s="15"/>
      <c r="K4" s="15"/>
      <c r="L4" s="14"/>
      <c r="M4" s="42"/>
      <c r="N4" s="15"/>
      <c r="O4" s="13"/>
      <c r="P4" s="15"/>
      <c r="Q4" s="15"/>
      <c r="R4" s="13"/>
      <c r="S4" s="15"/>
      <c r="T4" s="15"/>
      <c r="U4" s="13"/>
      <c r="V4" s="15"/>
      <c r="W4" s="15"/>
      <c r="X4" s="13"/>
      <c r="Y4" s="15"/>
      <c r="Z4" s="15"/>
      <c r="AA4" s="13"/>
      <c r="AB4" s="15"/>
      <c r="AC4" s="42"/>
      <c r="AD4" s="15"/>
      <c r="AE4" s="112"/>
    </row>
    <row r="5" spans="1:35" ht="15">
      <c r="A5" s="381" t="s">
        <v>0</v>
      </c>
      <c r="B5" s="381"/>
      <c r="C5" s="382"/>
      <c r="D5" s="381"/>
      <c r="E5" s="381"/>
      <c r="F5" s="382"/>
      <c r="G5" s="382"/>
      <c r="H5" s="381"/>
      <c r="I5" s="382"/>
      <c r="J5" s="381"/>
      <c r="K5" s="381"/>
      <c r="L5" s="382"/>
      <c r="M5" s="381"/>
      <c r="N5" s="382"/>
      <c r="O5" s="382"/>
      <c r="P5" s="381"/>
      <c r="Q5" s="381"/>
      <c r="R5" s="382"/>
      <c r="S5" s="381"/>
      <c r="T5" s="381"/>
      <c r="U5" s="382"/>
      <c r="V5" s="381"/>
      <c r="W5" s="381"/>
      <c r="X5" s="382"/>
      <c r="Y5" s="381"/>
      <c r="Z5" s="381"/>
      <c r="AA5" s="382"/>
      <c r="AB5" s="381"/>
      <c r="AC5" s="381"/>
      <c r="AD5" s="381"/>
      <c r="AE5" s="382"/>
      <c r="AF5" s="66"/>
      <c r="AG5" s="66"/>
      <c r="AH5" s="66"/>
      <c r="AI5" s="1"/>
    </row>
    <row r="6" spans="1:35" ht="15.75" thickBot="1">
      <c r="A6" s="383" t="s">
        <v>79</v>
      </c>
      <c r="B6" s="383"/>
      <c r="C6" s="384"/>
      <c r="D6" s="383"/>
      <c r="E6" s="383"/>
      <c r="F6" s="384"/>
      <c r="G6" s="384"/>
      <c r="H6" s="383"/>
      <c r="I6" s="384"/>
      <c r="J6" s="383"/>
      <c r="K6" s="383"/>
      <c r="L6" s="384"/>
      <c r="M6" s="383"/>
      <c r="N6" s="384"/>
      <c r="O6" s="384"/>
      <c r="P6" s="383"/>
      <c r="Q6" s="383"/>
      <c r="R6" s="384"/>
      <c r="S6" s="383"/>
      <c r="T6" s="383"/>
      <c r="U6" s="384"/>
      <c r="V6" s="383"/>
      <c r="W6" s="383"/>
      <c r="X6" s="384"/>
      <c r="Y6" s="383"/>
      <c r="Z6" s="383"/>
      <c r="AA6" s="384"/>
      <c r="AB6" s="383"/>
      <c r="AC6" s="383"/>
      <c r="AD6" s="383"/>
      <c r="AE6" s="384"/>
      <c r="AF6" s="67"/>
      <c r="AG6" s="67"/>
      <c r="AH6" s="67"/>
      <c r="AI6" s="3"/>
    </row>
    <row r="7" spans="1:36" ht="13.5" thickBot="1">
      <c r="A7" s="385" t="s">
        <v>1</v>
      </c>
      <c r="B7" s="385" t="s">
        <v>2</v>
      </c>
      <c r="C7" s="81"/>
      <c r="D7" s="385" t="s">
        <v>3</v>
      </c>
      <c r="E7" s="385" t="s">
        <v>4</v>
      </c>
      <c r="F7" s="372" t="s">
        <v>5</v>
      </c>
      <c r="G7" s="394" t="s">
        <v>6</v>
      </c>
      <c r="H7" s="385" t="s">
        <v>63</v>
      </c>
      <c r="I7" s="388" t="s">
        <v>7</v>
      </c>
      <c r="J7" s="389"/>
      <c r="K7" s="389"/>
      <c r="L7" s="388"/>
      <c r="M7" s="389"/>
      <c r="N7" s="390"/>
      <c r="O7" s="388"/>
      <c r="P7" s="389"/>
      <c r="Q7" s="389"/>
      <c r="R7" s="388"/>
      <c r="S7" s="389"/>
      <c r="T7" s="389"/>
      <c r="U7" s="388"/>
      <c r="V7" s="389"/>
      <c r="W7" s="389"/>
      <c r="X7" s="388"/>
      <c r="Y7" s="389"/>
      <c r="Z7" s="389"/>
      <c r="AA7" s="388"/>
      <c r="AB7" s="389"/>
      <c r="AC7" s="389"/>
      <c r="AD7" s="389"/>
      <c r="AE7" s="388"/>
      <c r="AF7" s="391"/>
      <c r="AG7" s="389"/>
      <c r="AH7" s="389"/>
      <c r="AI7" s="148"/>
      <c r="AJ7" s="148"/>
    </row>
    <row r="8" spans="1:36" ht="150.75" customHeight="1" thickBot="1">
      <c r="A8" s="386"/>
      <c r="B8" s="386"/>
      <c r="C8" s="82" t="s">
        <v>70</v>
      </c>
      <c r="D8" s="386"/>
      <c r="E8" s="386"/>
      <c r="F8" s="392"/>
      <c r="G8" s="395"/>
      <c r="H8" s="386"/>
      <c r="I8" s="84" t="s">
        <v>8</v>
      </c>
      <c r="J8" s="119" t="s">
        <v>8</v>
      </c>
      <c r="K8" s="88" t="s">
        <v>72</v>
      </c>
      <c r="L8" s="85" t="s">
        <v>9</v>
      </c>
      <c r="M8" s="119" t="s">
        <v>9</v>
      </c>
      <c r="N8" s="88" t="s">
        <v>72</v>
      </c>
      <c r="O8" s="85" t="s">
        <v>10</v>
      </c>
      <c r="P8" s="119" t="s">
        <v>10</v>
      </c>
      <c r="Q8" s="88" t="s">
        <v>72</v>
      </c>
      <c r="R8" s="84" t="s">
        <v>11</v>
      </c>
      <c r="S8" s="120" t="s">
        <v>11</v>
      </c>
      <c r="T8" s="88" t="s">
        <v>72</v>
      </c>
      <c r="U8" s="85" t="s">
        <v>12</v>
      </c>
      <c r="V8" s="119" t="s">
        <v>12</v>
      </c>
      <c r="W8" s="137" t="s">
        <v>72</v>
      </c>
      <c r="X8" s="143" t="s">
        <v>13</v>
      </c>
      <c r="Y8" s="144" t="s">
        <v>13</v>
      </c>
      <c r="Z8" s="137" t="s">
        <v>72</v>
      </c>
      <c r="AA8" s="143" t="s">
        <v>14</v>
      </c>
      <c r="AB8" s="144" t="s">
        <v>14</v>
      </c>
      <c r="AC8" s="137" t="s">
        <v>72</v>
      </c>
      <c r="AD8" s="145" t="s">
        <v>78</v>
      </c>
      <c r="AE8" s="146" t="s">
        <v>76</v>
      </c>
      <c r="AF8" s="87" t="s">
        <v>74</v>
      </c>
      <c r="AG8" s="147" t="s">
        <v>77</v>
      </c>
      <c r="AH8" s="141" t="s">
        <v>73</v>
      </c>
      <c r="AI8" s="151"/>
      <c r="AJ8" s="152"/>
    </row>
    <row r="9" spans="1:37" ht="57.75" customHeight="1" thickBot="1">
      <c r="A9" s="387"/>
      <c r="B9" s="387"/>
      <c r="C9" s="83"/>
      <c r="D9" s="387"/>
      <c r="E9" s="387"/>
      <c r="F9" s="393"/>
      <c r="G9" s="396"/>
      <c r="H9" s="387"/>
      <c r="I9" s="80" t="s">
        <v>15</v>
      </c>
      <c r="J9" s="88" t="s">
        <v>15</v>
      </c>
      <c r="K9" s="88" t="s">
        <v>84</v>
      </c>
      <c r="L9" s="86" t="s">
        <v>15</v>
      </c>
      <c r="M9" s="88" t="s">
        <v>15</v>
      </c>
      <c r="N9" s="88" t="s">
        <v>84</v>
      </c>
      <c r="O9" s="86" t="s">
        <v>15</v>
      </c>
      <c r="P9" s="88" t="s">
        <v>15</v>
      </c>
      <c r="Q9" s="88" t="s">
        <v>84</v>
      </c>
      <c r="R9" s="80" t="s">
        <v>15</v>
      </c>
      <c r="S9" s="89" t="s">
        <v>15</v>
      </c>
      <c r="T9" s="88" t="s">
        <v>84</v>
      </c>
      <c r="U9" s="86" t="s">
        <v>15</v>
      </c>
      <c r="V9" s="88" t="s">
        <v>15</v>
      </c>
      <c r="W9" s="88" t="s">
        <v>84</v>
      </c>
      <c r="X9" s="149" t="s">
        <v>15</v>
      </c>
      <c r="Y9" s="88" t="s">
        <v>15</v>
      </c>
      <c r="Z9" s="88" t="s">
        <v>84</v>
      </c>
      <c r="AA9" s="149" t="s">
        <v>15</v>
      </c>
      <c r="AB9" s="88" t="s">
        <v>15</v>
      </c>
      <c r="AC9" s="88" t="s">
        <v>84</v>
      </c>
      <c r="AD9" s="88"/>
      <c r="AE9" s="150" t="s">
        <v>15</v>
      </c>
      <c r="AF9" s="90" t="s">
        <v>75</v>
      </c>
      <c r="AG9" s="90" t="s">
        <v>15</v>
      </c>
      <c r="AH9" s="141" t="s">
        <v>84</v>
      </c>
      <c r="AI9" s="153" t="s">
        <v>88</v>
      </c>
      <c r="AJ9" s="154" t="s">
        <v>87</v>
      </c>
      <c r="AK9" s="5"/>
    </row>
    <row r="10" spans="1:37" ht="12.75">
      <c r="A10" s="92">
        <v>1</v>
      </c>
      <c r="B10" s="93" t="s">
        <v>43</v>
      </c>
      <c r="C10" s="94">
        <v>5</v>
      </c>
      <c r="D10" s="95">
        <v>4</v>
      </c>
      <c r="E10" s="95">
        <v>60</v>
      </c>
      <c r="F10" s="94" t="s">
        <v>17</v>
      </c>
      <c r="G10" s="94">
        <v>1987</v>
      </c>
      <c r="H10" s="96">
        <v>3345.2</v>
      </c>
      <c r="I10" s="72">
        <f>35000/H10/12</f>
        <v>0.8718960500617801</v>
      </c>
      <c r="J10" s="73">
        <f>ROUND(I10,1)</f>
        <v>0.9</v>
      </c>
      <c r="K10" s="44">
        <f>J10*H10*12</f>
        <v>36128.159999999996</v>
      </c>
      <c r="L10" s="74">
        <f>28000/H10/12</f>
        <v>0.697516840049424</v>
      </c>
      <c r="M10" s="73">
        <f aca="true" t="shared" si="0" ref="M10:M19">ROUND(L10,1)</f>
        <v>0.7</v>
      </c>
      <c r="N10" s="73">
        <f>M10*H10*12</f>
        <v>28099.68</v>
      </c>
      <c r="O10" s="75"/>
      <c r="P10" s="41"/>
      <c r="Q10" s="76">
        <f aca="true" t="shared" si="1" ref="Q10:Q34">P10*H10*12</f>
        <v>0</v>
      </c>
      <c r="R10" s="77"/>
      <c r="S10" s="76">
        <f>ROUND(R10,2)</f>
        <v>0</v>
      </c>
      <c r="T10" s="76"/>
      <c r="U10" s="74">
        <f>20000/H10/12</f>
        <v>0.4982263143210172</v>
      </c>
      <c r="V10" s="44">
        <f>ROUND(U10,1)</f>
        <v>0.5</v>
      </c>
      <c r="W10" s="73">
        <f>V10*H10*12</f>
        <v>20071.199999999997</v>
      </c>
      <c r="X10" s="75"/>
      <c r="Y10" s="41"/>
      <c r="Z10" s="76">
        <f>Y10*H10*12</f>
        <v>0</v>
      </c>
      <c r="AA10" s="75"/>
      <c r="AB10" s="41"/>
      <c r="AC10" s="78">
        <f>AB10*H10*12</f>
        <v>0</v>
      </c>
      <c r="AD10" s="73">
        <f aca="true" t="shared" si="2" ref="AD10:AD34">ROUND(AE10,1)</f>
        <v>2.1</v>
      </c>
      <c r="AE10" s="123">
        <f>AB10+V10+M10+J10</f>
        <v>2.1</v>
      </c>
      <c r="AF10" s="161">
        <v>24.07</v>
      </c>
      <c r="AG10" s="161">
        <f aca="true" t="shared" si="3" ref="AG10:AG35">AF10+AD10</f>
        <v>26.17</v>
      </c>
      <c r="AH10" s="139">
        <f>Z10+W10+T10+Q10+N10+K10</f>
        <v>84299.04</v>
      </c>
      <c r="AI10" s="155">
        <v>84278.93</v>
      </c>
      <c r="AJ10" s="156">
        <f>AH10-AI10</f>
        <v>20.110000000000582</v>
      </c>
      <c r="AK10" s="5"/>
    </row>
    <row r="11" spans="1:37" ht="12.75">
      <c r="A11" s="92">
        <v>2</v>
      </c>
      <c r="B11" s="97" t="s">
        <v>44</v>
      </c>
      <c r="C11" s="98">
        <v>5</v>
      </c>
      <c r="D11" s="99">
        <v>4</v>
      </c>
      <c r="E11" s="99">
        <v>60</v>
      </c>
      <c r="F11" s="98" t="s">
        <v>17</v>
      </c>
      <c r="G11" s="98">
        <v>1987</v>
      </c>
      <c r="H11" s="100">
        <v>3350.07</v>
      </c>
      <c r="I11" s="18"/>
      <c r="J11" s="49">
        <f aca="true" t="shared" si="4" ref="J11:J16">ROUND(I11,1)</f>
        <v>0</v>
      </c>
      <c r="K11" s="43"/>
      <c r="L11" s="19"/>
      <c r="M11" s="49">
        <f t="shared" si="0"/>
        <v>0</v>
      </c>
      <c r="N11" s="49">
        <f aca="true" t="shared" si="5" ref="N11:N34">M11*H11*12</f>
        <v>0</v>
      </c>
      <c r="O11" s="17"/>
      <c r="P11" s="36"/>
      <c r="Q11" s="57">
        <f t="shared" si="1"/>
        <v>0</v>
      </c>
      <c r="R11" s="18">
        <f>32450/H11/12</f>
        <v>0.8071970635439457</v>
      </c>
      <c r="S11" s="58">
        <f>ROUND(R11,1)</f>
        <v>0.8</v>
      </c>
      <c r="T11" s="116">
        <f>S11*H11*12</f>
        <v>32160.672000000006</v>
      </c>
      <c r="U11" s="17"/>
      <c r="V11" s="43"/>
      <c r="W11" s="49">
        <f aca="true" t="shared" si="6" ref="W11:W34">V11*H11*12</f>
        <v>0</v>
      </c>
      <c r="X11" s="19">
        <f>48854/H11/12</f>
        <v>1.2152482385940193</v>
      </c>
      <c r="Y11" s="36">
        <f>ROUND(X11,1)</f>
        <v>1.2</v>
      </c>
      <c r="Z11" s="48">
        <f aca="true" t="shared" si="7" ref="Z11:Z34">Y11*H11*12</f>
        <v>48241.008</v>
      </c>
      <c r="AA11" s="17"/>
      <c r="AB11" s="36"/>
      <c r="AC11" s="61">
        <f aca="true" t="shared" si="8" ref="AC11:AC34">AB11*H11*12</f>
        <v>0</v>
      </c>
      <c r="AD11" s="48">
        <f t="shared" si="2"/>
        <v>2</v>
      </c>
      <c r="AE11" s="124">
        <f aca="true" t="shared" si="9" ref="AE11:AE34">AB11+Y11+V11+S11+P11+M11+J11</f>
        <v>2</v>
      </c>
      <c r="AF11" s="162">
        <v>24.07</v>
      </c>
      <c r="AG11" s="162">
        <f t="shared" si="3"/>
        <v>26.07</v>
      </c>
      <c r="AH11" s="139">
        <f aca="true" t="shared" si="10" ref="AH11:AH34">Z11+W11+T11+Q11+N11+K11</f>
        <v>80401.68000000001</v>
      </c>
      <c r="AI11" s="155">
        <v>80401.29</v>
      </c>
      <c r="AJ11" s="156">
        <f aca="true" t="shared" si="11" ref="AJ11:AJ34">AH11-AI11</f>
        <v>0.39000000001396984</v>
      </c>
      <c r="AK11" s="5"/>
    </row>
    <row r="12" spans="1:37" ht="12.75">
      <c r="A12" s="101">
        <v>3</v>
      </c>
      <c r="B12" s="97" t="s">
        <v>45</v>
      </c>
      <c r="C12" s="98">
        <v>5</v>
      </c>
      <c r="D12" s="99">
        <v>2</v>
      </c>
      <c r="E12" s="99">
        <v>30</v>
      </c>
      <c r="F12" s="98" t="s">
        <v>17</v>
      </c>
      <c r="G12" s="98">
        <v>1989</v>
      </c>
      <c r="H12" s="100">
        <v>1751.2</v>
      </c>
      <c r="I12" s="18"/>
      <c r="J12" s="49">
        <f t="shared" si="4"/>
        <v>0</v>
      </c>
      <c r="K12" s="43"/>
      <c r="L12" s="19"/>
      <c r="M12" s="49">
        <f t="shared" si="0"/>
        <v>0</v>
      </c>
      <c r="N12" s="49">
        <f t="shared" si="5"/>
        <v>0</v>
      </c>
      <c r="O12" s="17"/>
      <c r="P12" s="36"/>
      <c r="Q12" s="57">
        <f t="shared" si="1"/>
        <v>0</v>
      </c>
      <c r="R12" s="18"/>
      <c r="S12" s="58"/>
      <c r="T12" s="116"/>
      <c r="U12" s="17"/>
      <c r="V12" s="43"/>
      <c r="W12" s="49">
        <f t="shared" si="6"/>
        <v>0</v>
      </c>
      <c r="X12" s="17"/>
      <c r="Y12" s="36"/>
      <c r="Z12" s="49">
        <f t="shared" si="7"/>
        <v>0</v>
      </c>
      <c r="AA12" s="19"/>
      <c r="AB12" s="36"/>
      <c r="AC12" s="62"/>
      <c r="AD12" s="49">
        <f t="shared" si="2"/>
        <v>0</v>
      </c>
      <c r="AE12" s="124">
        <f t="shared" si="9"/>
        <v>0</v>
      </c>
      <c r="AF12" s="162">
        <v>24.07</v>
      </c>
      <c r="AG12" s="162">
        <f t="shared" si="3"/>
        <v>24.07</v>
      </c>
      <c r="AH12" s="139">
        <f t="shared" si="10"/>
        <v>0</v>
      </c>
      <c r="AI12" s="155"/>
      <c r="AJ12" s="156">
        <f t="shared" si="11"/>
        <v>0</v>
      </c>
      <c r="AK12" s="5"/>
    </row>
    <row r="13" spans="1:37" ht="12.75">
      <c r="A13" s="92">
        <v>4</v>
      </c>
      <c r="B13" s="97" t="s">
        <v>46</v>
      </c>
      <c r="C13" s="98">
        <v>5</v>
      </c>
      <c r="D13" s="99">
        <v>4</v>
      </c>
      <c r="E13" s="99">
        <v>60</v>
      </c>
      <c r="F13" s="98" t="s">
        <v>17</v>
      </c>
      <c r="G13" s="98">
        <v>1988</v>
      </c>
      <c r="H13" s="100">
        <v>3541.9</v>
      </c>
      <c r="I13" s="18"/>
      <c r="J13" s="49">
        <f t="shared" si="4"/>
        <v>0</v>
      </c>
      <c r="K13" s="43"/>
      <c r="L13" s="19"/>
      <c r="M13" s="49">
        <f t="shared" si="0"/>
        <v>0</v>
      </c>
      <c r="N13" s="49">
        <f t="shared" si="5"/>
        <v>0</v>
      </c>
      <c r="O13" s="19"/>
      <c r="P13" s="36"/>
      <c r="Q13" s="58"/>
      <c r="R13" s="18"/>
      <c r="S13" s="58"/>
      <c r="T13" s="116"/>
      <c r="U13" s="17">
        <f>12000/H13/12</f>
        <v>0.28233434032581384</v>
      </c>
      <c r="V13" s="43">
        <f>ROUND(U13,1)</f>
        <v>0.3</v>
      </c>
      <c r="W13" s="48">
        <f>U13*H13*12</f>
        <v>12000</v>
      </c>
      <c r="X13" s="17"/>
      <c r="Y13" s="36"/>
      <c r="Z13" s="49">
        <f t="shared" si="7"/>
        <v>0</v>
      </c>
      <c r="AA13" s="17"/>
      <c r="AB13" s="36"/>
      <c r="AC13" s="63">
        <f t="shared" si="8"/>
        <v>0</v>
      </c>
      <c r="AD13" s="48">
        <f t="shared" si="2"/>
        <v>0.3</v>
      </c>
      <c r="AE13" s="124">
        <f t="shared" si="9"/>
        <v>0.3</v>
      </c>
      <c r="AF13" s="162">
        <v>24.07</v>
      </c>
      <c r="AG13" s="162">
        <f t="shared" si="3"/>
        <v>24.37</v>
      </c>
      <c r="AH13" s="138">
        <f t="shared" si="10"/>
        <v>12000</v>
      </c>
      <c r="AI13" s="155">
        <v>11999.73</v>
      </c>
      <c r="AJ13" s="156">
        <f t="shared" si="11"/>
        <v>0.27000000000043656</v>
      </c>
      <c r="AK13" s="6"/>
    </row>
    <row r="14" spans="1:37" ht="12.75">
      <c r="A14" s="101">
        <v>5</v>
      </c>
      <c r="B14" s="97" t="s">
        <v>47</v>
      </c>
      <c r="C14" s="98">
        <v>5</v>
      </c>
      <c r="D14" s="99">
        <v>3</v>
      </c>
      <c r="E14" s="99">
        <v>35</v>
      </c>
      <c r="F14" s="98" t="s">
        <v>62</v>
      </c>
      <c r="G14" s="98">
        <v>1988</v>
      </c>
      <c r="H14" s="100">
        <v>1671.51</v>
      </c>
      <c r="I14" s="18"/>
      <c r="J14" s="49">
        <f t="shared" si="4"/>
        <v>0</v>
      </c>
      <c r="K14" s="43"/>
      <c r="L14" s="19">
        <f>21000/H14/12</f>
        <v>1.0469575413847358</v>
      </c>
      <c r="M14" s="48">
        <f t="shared" si="0"/>
        <v>1</v>
      </c>
      <c r="N14" s="48">
        <f t="shared" si="5"/>
        <v>20058.12</v>
      </c>
      <c r="O14" s="17"/>
      <c r="P14" s="36"/>
      <c r="Q14" s="49">
        <f t="shared" si="1"/>
        <v>0</v>
      </c>
      <c r="R14" s="18"/>
      <c r="S14" s="58"/>
      <c r="T14" s="118"/>
      <c r="U14" s="19">
        <f>20076/H14/12</f>
        <v>1.0008914095638075</v>
      </c>
      <c r="V14" s="43">
        <f>ROUND(U14,1)</f>
        <v>1</v>
      </c>
      <c r="W14" s="48">
        <f t="shared" si="6"/>
        <v>20058.12</v>
      </c>
      <c r="X14" s="17"/>
      <c r="Y14" s="36"/>
      <c r="Z14" s="49">
        <f t="shared" si="7"/>
        <v>0</v>
      </c>
      <c r="AA14" s="17"/>
      <c r="AB14" s="36"/>
      <c r="AC14" s="63">
        <f t="shared" si="8"/>
        <v>0</v>
      </c>
      <c r="AD14" s="48">
        <f t="shared" si="2"/>
        <v>2</v>
      </c>
      <c r="AE14" s="124">
        <f t="shared" si="9"/>
        <v>2</v>
      </c>
      <c r="AF14" s="162">
        <v>24.07</v>
      </c>
      <c r="AG14" s="162">
        <f t="shared" si="3"/>
        <v>26.07</v>
      </c>
      <c r="AH14" s="138">
        <f t="shared" si="10"/>
        <v>40116.24</v>
      </c>
      <c r="AI14" s="155">
        <v>20052.03</v>
      </c>
      <c r="AJ14" s="156">
        <f t="shared" si="11"/>
        <v>20064.21</v>
      </c>
      <c r="AK14" s="6"/>
    </row>
    <row r="15" spans="1:37" ht="12.75">
      <c r="A15" s="92">
        <v>6</v>
      </c>
      <c r="B15" s="97" t="s">
        <v>48</v>
      </c>
      <c r="C15" s="98">
        <v>5</v>
      </c>
      <c r="D15" s="99">
        <v>3</v>
      </c>
      <c r="E15" s="99">
        <v>35</v>
      </c>
      <c r="F15" s="98" t="s">
        <v>62</v>
      </c>
      <c r="G15" s="98">
        <v>1988</v>
      </c>
      <c r="H15" s="100">
        <v>1662.44</v>
      </c>
      <c r="I15" s="18"/>
      <c r="J15" s="49">
        <f t="shared" si="4"/>
        <v>0</v>
      </c>
      <c r="K15" s="43"/>
      <c r="L15" s="19"/>
      <c r="M15" s="49">
        <f t="shared" si="0"/>
        <v>0</v>
      </c>
      <c r="N15" s="49">
        <f t="shared" si="5"/>
        <v>0</v>
      </c>
      <c r="O15" s="17"/>
      <c r="P15" s="36"/>
      <c r="Q15" s="49">
        <f t="shared" si="1"/>
        <v>0</v>
      </c>
      <c r="R15" s="18"/>
      <c r="S15" s="58"/>
      <c r="T15" s="118"/>
      <c r="U15" s="17"/>
      <c r="V15" s="43"/>
      <c r="W15" s="49">
        <f t="shared" si="6"/>
        <v>0</v>
      </c>
      <c r="X15" s="17"/>
      <c r="Y15" s="36"/>
      <c r="Z15" s="49">
        <f t="shared" si="7"/>
        <v>0</v>
      </c>
      <c r="AA15" s="17"/>
      <c r="AB15" s="36"/>
      <c r="AC15" s="63">
        <f t="shared" si="8"/>
        <v>0</v>
      </c>
      <c r="AD15" s="49">
        <f t="shared" si="2"/>
        <v>0</v>
      </c>
      <c r="AE15" s="124">
        <f t="shared" si="9"/>
        <v>0</v>
      </c>
      <c r="AF15" s="162">
        <v>24.07</v>
      </c>
      <c r="AG15" s="162">
        <f t="shared" si="3"/>
        <v>24.07</v>
      </c>
      <c r="AH15" s="138">
        <f t="shared" si="10"/>
        <v>0</v>
      </c>
      <c r="AI15" s="155"/>
      <c r="AJ15" s="156">
        <f t="shared" si="11"/>
        <v>0</v>
      </c>
      <c r="AK15" s="5"/>
    </row>
    <row r="16" spans="1:37" ht="12.75">
      <c r="A16" s="101">
        <v>7</v>
      </c>
      <c r="B16" s="97" t="s">
        <v>49</v>
      </c>
      <c r="C16" s="98">
        <v>5</v>
      </c>
      <c r="D16" s="99">
        <v>6</v>
      </c>
      <c r="E16" s="99">
        <v>70</v>
      </c>
      <c r="F16" s="98" t="s">
        <v>62</v>
      </c>
      <c r="G16" s="98">
        <v>1987</v>
      </c>
      <c r="H16" s="100">
        <v>3374.04</v>
      </c>
      <c r="I16" s="18"/>
      <c r="J16" s="49">
        <f t="shared" si="4"/>
        <v>0</v>
      </c>
      <c r="K16" s="43"/>
      <c r="L16" s="19"/>
      <c r="M16" s="49">
        <f t="shared" si="0"/>
        <v>0</v>
      </c>
      <c r="N16" s="49">
        <f t="shared" si="5"/>
        <v>0</v>
      </c>
      <c r="O16" s="17"/>
      <c r="P16" s="36"/>
      <c r="Q16" s="49">
        <f t="shared" si="1"/>
        <v>0</v>
      </c>
      <c r="R16" s="18">
        <f>62000/H16/12</f>
        <v>1.5312997672424353</v>
      </c>
      <c r="S16" s="58">
        <f>ROUND(R16,1)</f>
        <v>1.5</v>
      </c>
      <c r="T16" s="116">
        <f>S16*H16*12</f>
        <v>60732.719999999994</v>
      </c>
      <c r="U16" s="17"/>
      <c r="V16" s="43"/>
      <c r="W16" s="49">
        <f t="shared" si="6"/>
        <v>0</v>
      </c>
      <c r="X16" s="17"/>
      <c r="Y16" s="36"/>
      <c r="Z16" s="49">
        <f t="shared" si="7"/>
        <v>0</v>
      </c>
      <c r="AA16" s="19">
        <f>16000/H16/12</f>
        <v>0.3951741334819188</v>
      </c>
      <c r="AB16" s="36">
        <f>ROUND(AA16,1)</f>
        <v>0.4</v>
      </c>
      <c r="AC16" s="62">
        <f>AB16*H16*12</f>
        <v>16195.392</v>
      </c>
      <c r="AD16" s="48">
        <f t="shared" si="2"/>
        <v>1.9</v>
      </c>
      <c r="AE16" s="124">
        <f t="shared" si="9"/>
        <v>1.9</v>
      </c>
      <c r="AF16" s="162">
        <v>24.07</v>
      </c>
      <c r="AG16" s="162">
        <f t="shared" si="3"/>
        <v>25.97</v>
      </c>
      <c r="AH16" s="138">
        <f t="shared" si="10"/>
        <v>60732.719999999994</v>
      </c>
      <c r="AI16" s="155">
        <v>60730</v>
      </c>
      <c r="AJ16" s="156">
        <f t="shared" si="11"/>
        <v>2.719999999993888</v>
      </c>
      <c r="AK16" s="5"/>
    </row>
    <row r="17" spans="1:37" ht="12.75">
      <c r="A17" s="92">
        <v>8</v>
      </c>
      <c r="B17" s="97" t="s">
        <v>50</v>
      </c>
      <c r="C17" s="98">
        <v>5</v>
      </c>
      <c r="D17" s="99">
        <v>3</v>
      </c>
      <c r="E17" s="99">
        <v>35</v>
      </c>
      <c r="F17" s="98" t="s">
        <v>62</v>
      </c>
      <c r="G17" s="98">
        <v>1988</v>
      </c>
      <c r="H17" s="100">
        <v>1671.6</v>
      </c>
      <c r="I17" s="18">
        <f>18000/H17/12</f>
        <v>0.8973438621679829</v>
      </c>
      <c r="J17" s="48">
        <f aca="true" t="shared" si="12" ref="J17:J22">ROUND(I17,1)</f>
        <v>0.9</v>
      </c>
      <c r="K17" s="43">
        <f>J17*H17*12</f>
        <v>18053.28</v>
      </c>
      <c r="L17" s="19"/>
      <c r="M17" s="49">
        <f t="shared" si="0"/>
        <v>0</v>
      </c>
      <c r="N17" s="49">
        <f t="shared" si="5"/>
        <v>0</v>
      </c>
      <c r="O17" s="19">
        <f>6500/H17/12</f>
        <v>0.324040839116216</v>
      </c>
      <c r="P17" s="36">
        <f>ROUND(O17,1)</f>
        <v>0.3</v>
      </c>
      <c r="Q17" s="58">
        <f t="shared" si="1"/>
        <v>6017.759999999999</v>
      </c>
      <c r="R17" s="18">
        <f>8000/H17/12</f>
        <v>0.39881949429688124</v>
      </c>
      <c r="S17" s="58">
        <f>ROUND(R17,1)</f>
        <v>0.4</v>
      </c>
      <c r="T17" s="116">
        <f>S17*H17*12</f>
        <v>8023.68</v>
      </c>
      <c r="U17" s="17"/>
      <c r="V17" s="43"/>
      <c r="W17" s="49">
        <f t="shared" si="6"/>
        <v>0</v>
      </c>
      <c r="X17" s="20"/>
      <c r="Y17" s="36"/>
      <c r="Z17" s="49">
        <f t="shared" si="7"/>
        <v>0</v>
      </c>
      <c r="AA17" s="19">
        <f>16000/H17/12</f>
        <v>0.7976389885937625</v>
      </c>
      <c r="AB17" s="36">
        <f>ROUND(AA17,1)</f>
        <v>0.8</v>
      </c>
      <c r="AC17" s="62">
        <f t="shared" si="8"/>
        <v>16047.36</v>
      </c>
      <c r="AD17" s="48">
        <f t="shared" si="2"/>
        <v>2.4</v>
      </c>
      <c r="AE17" s="124">
        <f t="shared" si="9"/>
        <v>2.4000000000000004</v>
      </c>
      <c r="AF17" s="162">
        <v>24.07</v>
      </c>
      <c r="AG17" s="162">
        <f t="shared" si="3"/>
        <v>26.47</v>
      </c>
      <c r="AH17" s="138">
        <f t="shared" si="10"/>
        <v>32094.719999999998</v>
      </c>
      <c r="AI17" s="155">
        <v>32074.2</v>
      </c>
      <c r="AJ17" s="156">
        <f t="shared" si="11"/>
        <v>20.5199999999968</v>
      </c>
      <c r="AK17" s="6"/>
    </row>
    <row r="18" spans="1:37" ht="12.75">
      <c r="A18" s="101">
        <v>9</v>
      </c>
      <c r="B18" s="97" t="s">
        <v>51</v>
      </c>
      <c r="C18" s="98">
        <v>5</v>
      </c>
      <c r="D18" s="99">
        <v>3</v>
      </c>
      <c r="E18" s="99">
        <v>35</v>
      </c>
      <c r="F18" s="98" t="s">
        <v>62</v>
      </c>
      <c r="G18" s="98">
        <v>1988</v>
      </c>
      <c r="H18" s="100">
        <v>1707.7</v>
      </c>
      <c r="I18" s="18"/>
      <c r="J18" s="49">
        <f t="shared" si="12"/>
        <v>0</v>
      </c>
      <c r="K18" s="36"/>
      <c r="L18" s="19"/>
      <c r="M18" s="49">
        <f t="shared" si="0"/>
        <v>0</v>
      </c>
      <c r="N18" s="49">
        <f t="shared" si="5"/>
        <v>0</v>
      </c>
      <c r="O18" s="17"/>
      <c r="P18" s="36"/>
      <c r="Q18" s="57">
        <f t="shared" si="1"/>
        <v>0</v>
      </c>
      <c r="R18" s="18"/>
      <c r="S18" s="58"/>
      <c r="T18" s="118"/>
      <c r="U18" s="17"/>
      <c r="V18" s="43"/>
      <c r="W18" s="49">
        <f t="shared" si="6"/>
        <v>0</v>
      </c>
      <c r="X18" s="19">
        <f>53000/H18/12</f>
        <v>2.586324686225137</v>
      </c>
      <c r="Y18" s="36">
        <f>ROUND(X18,1)</f>
        <v>2.6</v>
      </c>
      <c r="Z18" s="48">
        <f t="shared" si="7"/>
        <v>53280.240000000005</v>
      </c>
      <c r="AA18" s="19"/>
      <c r="AB18" s="36"/>
      <c r="AC18" s="63">
        <f t="shared" si="8"/>
        <v>0</v>
      </c>
      <c r="AD18" s="48">
        <f t="shared" si="2"/>
        <v>2.6</v>
      </c>
      <c r="AE18" s="124">
        <f t="shared" si="9"/>
        <v>2.6</v>
      </c>
      <c r="AF18" s="162">
        <v>24.07</v>
      </c>
      <c r="AG18" s="162">
        <f t="shared" si="3"/>
        <v>26.67</v>
      </c>
      <c r="AH18" s="138">
        <f t="shared" si="10"/>
        <v>53280.240000000005</v>
      </c>
      <c r="AI18" s="155">
        <v>53280</v>
      </c>
      <c r="AJ18" s="156">
        <f t="shared" si="11"/>
        <v>0.2400000000052387</v>
      </c>
      <c r="AK18" s="5"/>
    </row>
    <row r="19" spans="1:37" ht="12.75">
      <c r="A19" s="92">
        <v>10</v>
      </c>
      <c r="B19" s="97" t="s">
        <v>52</v>
      </c>
      <c r="C19" s="98">
        <v>5</v>
      </c>
      <c r="D19" s="99">
        <v>6</v>
      </c>
      <c r="E19" s="99">
        <v>70</v>
      </c>
      <c r="F19" s="98" t="s">
        <v>62</v>
      </c>
      <c r="G19" s="98">
        <v>1988</v>
      </c>
      <c r="H19" s="100">
        <v>3344.56</v>
      </c>
      <c r="I19" s="18">
        <f>64000/H19/12</f>
        <v>1.5946292885561428</v>
      </c>
      <c r="J19" s="48">
        <f t="shared" si="12"/>
        <v>1.6</v>
      </c>
      <c r="K19" s="43">
        <f>J19*H19*12</f>
        <v>64215.552</v>
      </c>
      <c r="L19" s="19">
        <f>7000/H19/12</f>
        <v>0.17441257843582814</v>
      </c>
      <c r="M19" s="48">
        <f t="shared" si="0"/>
        <v>0.2</v>
      </c>
      <c r="N19" s="48">
        <f t="shared" si="5"/>
        <v>8026.944</v>
      </c>
      <c r="O19" s="17"/>
      <c r="P19" s="36"/>
      <c r="Q19" s="57">
        <f t="shared" si="1"/>
        <v>0</v>
      </c>
      <c r="R19" s="18">
        <f>30000/H19/12</f>
        <v>0.7474824790106921</v>
      </c>
      <c r="S19" s="58">
        <f>ROUND(R19,1)</f>
        <v>0.7</v>
      </c>
      <c r="T19" s="116">
        <f>S19*H19*12</f>
        <v>28094.304</v>
      </c>
      <c r="U19" s="17"/>
      <c r="V19" s="43"/>
      <c r="W19" s="49">
        <f t="shared" si="6"/>
        <v>0</v>
      </c>
      <c r="X19" s="17"/>
      <c r="Y19" s="36"/>
      <c r="Z19" s="49">
        <f t="shared" si="7"/>
        <v>0</v>
      </c>
      <c r="AA19" s="19"/>
      <c r="AB19" s="36"/>
      <c r="AC19" s="63">
        <f t="shared" si="8"/>
        <v>0</v>
      </c>
      <c r="AD19" s="48">
        <f t="shared" si="2"/>
        <v>2.5</v>
      </c>
      <c r="AE19" s="124">
        <f t="shared" si="9"/>
        <v>2.5</v>
      </c>
      <c r="AF19" s="162">
        <v>24.07</v>
      </c>
      <c r="AG19" s="162">
        <f t="shared" si="3"/>
        <v>26.57</v>
      </c>
      <c r="AH19" s="138">
        <f t="shared" si="10"/>
        <v>100336.8</v>
      </c>
      <c r="AI19" s="155">
        <v>100333.28</v>
      </c>
      <c r="AJ19" s="156">
        <f t="shared" si="11"/>
        <v>3.5200000000040745</v>
      </c>
      <c r="AK19" s="5"/>
    </row>
    <row r="20" spans="1:37" ht="12.75">
      <c r="A20" s="101">
        <v>11</v>
      </c>
      <c r="B20" s="97" t="s">
        <v>53</v>
      </c>
      <c r="C20" s="98">
        <v>5</v>
      </c>
      <c r="D20" s="99">
        <v>6</v>
      </c>
      <c r="E20" s="99">
        <v>70</v>
      </c>
      <c r="F20" s="98" t="s">
        <v>62</v>
      </c>
      <c r="G20" s="98">
        <v>1988</v>
      </c>
      <c r="H20" s="100">
        <v>3396.3</v>
      </c>
      <c r="I20" s="18"/>
      <c r="J20" s="49">
        <f t="shared" si="12"/>
        <v>0</v>
      </c>
      <c r="K20" s="43"/>
      <c r="L20" s="19"/>
      <c r="M20" s="48"/>
      <c r="N20" s="49">
        <f t="shared" si="5"/>
        <v>0</v>
      </c>
      <c r="O20" s="17"/>
      <c r="P20" s="36"/>
      <c r="Q20" s="57">
        <f t="shared" si="1"/>
        <v>0</v>
      </c>
      <c r="R20" s="18">
        <f>19000/H20/12</f>
        <v>0.46619360284230876</v>
      </c>
      <c r="S20" s="58">
        <f>ROUND(R20,1)</f>
        <v>0.5</v>
      </c>
      <c r="T20" s="116">
        <f>S20*H20*12</f>
        <v>20377.800000000003</v>
      </c>
      <c r="U20" s="17"/>
      <c r="V20" s="43"/>
      <c r="W20" s="49">
        <f t="shared" si="6"/>
        <v>0</v>
      </c>
      <c r="X20" s="19">
        <f>55000/H20/12</f>
        <v>1.3495077977014203</v>
      </c>
      <c r="Y20" s="36">
        <f>ROUND(X20,1)</f>
        <v>1.3</v>
      </c>
      <c r="Z20" s="48">
        <f t="shared" si="7"/>
        <v>52982.280000000006</v>
      </c>
      <c r="AA20" s="19"/>
      <c r="AB20" s="36"/>
      <c r="AC20" s="63">
        <f t="shared" si="8"/>
        <v>0</v>
      </c>
      <c r="AD20" s="48">
        <f t="shared" si="2"/>
        <v>1.8</v>
      </c>
      <c r="AE20" s="124">
        <f t="shared" si="9"/>
        <v>1.8</v>
      </c>
      <c r="AF20" s="162">
        <v>24.07</v>
      </c>
      <c r="AG20" s="162">
        <f t="shared" si="3"/>
        <v>25.87</v>
      </c>
      <c r="AH20" s="138">
        <f t="shared" si="10"/>
        <v>73360.08000000002</v>
      </c>
      <c r="AI20" s="155">
        <v>73359.22</v>
      </c>
      <c r="AJ20" s="156">
        <f t="shared" si="11"/>
        <v>0.860000000015134</v>
      </c>
      <c r="AK20" s="5"/>
    </row>
    <row r="21" spans="1:37" ht="12.75">
      <c r="A21" s="92">
        <v>12</v>
      </c>
      <c r="B21" s="107" t="s">
        <v>54</v>
      </c>
      <c r="C21" s="98">
        <v>5</v>
      </c>
      <c r="D21" s="99">
        <v>3</v>
      </c>
      <c r="E21" s="99">
        <v>35</v>
      </c>
      <c r="F21" s="98" t="s">
        <v>62</v>
      </c>
      <c r="G21" s="98">
        <v>1988</v>
      </c>
      <c r="H21" s="100">
        <v>1672.8</v>
      </c>
      <c r="I21" s="18"/>
      <c r="J21" s="49">
        <f t="shared" si="12"/>
        <v>0</v>
      </c>
      <c r="K21" s="43"/>
      <c r="L21" s="19"/>
      <c r="M21" s="48"/>
      <c r="N21" s="49">
        <f t="shared" si="5"/>
        <v>0</v>
      </c>
      <c r="O21" s="17"/>
      <c r="P21" s="36"/>
      <c r="Q21" s="57">
        <f t="shared" si="1"/>
        <v>0</v>
      </c>
      <c r="R21" s="18">
        <f>25000/H21/12</f>
        <v>1.2454168659333653</v>
      </c>
      <c r="S21" s="58">
        <f>ROUND(R21,1)</f>
        <v>1.2</v>
      </c>
      <c r="T21" s="116">
        <f>S21*H21*12</f>
        <v>24088.32</v>
      </c>
      <c r="U21" s="17"/>
      <c r="V21" s="43"/>
      <c r="W21" s="49">
        <f t="shared" si="6"/>
        <v>0</v>
      </c>
      <c r="X21" s="17"/>
      <c r="Y21" s="36"/>
      <c r="Z21" s="48"/>
      <c r="AA21" s="19"/>
      <c r="AB21" s="36"/>
      <c r="AC21" s="63">
        <f t="shared" si="8"/>
        <v>0</v>
      </c>
      <c r="AD21" s="48">
        <f t="shared" si="2"/>
        <v>1.2</v>
      </c>
      <c r="AE21" s="124">
        <f t="shared" si="9"/>
        <v>1.2</v>
      </c>
      <c r="AF21" s="162">
        <v>24.07</v>
      </c>
      <c r="AG21" s="162">
        <f t="shared" si="3"/>
        <v>25.27</v>
      </c>
      <c r="AH21" s="138">
        <f t="shared" si="10"/>
        <v>24088.32</v>
      </c>
      <c r="AI21" s="155">
        <v>24088.2</v>
      </c>
      <c r="AJ21" s="156">
        <f t="shared" si="11"/>
        <v>0.11999999999898137</v>
      </c>
      <c r="AK21" s="6"/>
    </row>
    <row r="22" spans="1:37" ht="12.75">
      <c r="A22" s="101">
        <v>13</v>
      </c>
      <c r="B22" s="107" t="s">
        <v>55</v>
      </c>
      <c r="C22" s="98">
        <v>5</v>
      </c>
      <c r="D22" s="99">
        <v>6</v>
      </c>
      <c r="E22" s="99">
        <v>70</v>
      </c>
      <c r="F22" s="98" t="s">
        <v>62</v>
      </c>
      <c r="G22" s="98">
        <v>1988</v>
      </c>
      <c r="H22" s="100">
        <v>3355.7</v>
      </c>
      <c r="I22" s="18">
        <f>66000/H22/12</f>
        <v>1.6390022946032126</v>
      </c>
      <c r="J22" s="48">
        <f t="shared" si="12"/>
        <v>1.6</v>
      </c>
      <c r="K22" s="43">
        <f>J22*H22*12</f>
        <v>64429.44</v>
      </c>
      <c r="L22" s="19"/>
      <c r="M22" s="48"/>
      <c r="N22" s="49">
        <f t="shared" si="5"/>
        <v>0</v>
      </c>
      <c r="O22" s="17"/>
      <c r="P22" s="36"/>
      <c r="Q22" s="57">
        <f t="shared" si="1"/>
        <v>0</v>
      </c>
      <c r="R22" s="18"/>
      <c r="S22" s="58"/>
      <c r="T22" s="118"/>
      <c r="U22" s="17"/>
      <c r="V22" s="43"/>
      <c r="W22" s="49">
        <f t="shared" si="6"/>
        <v>0</v>
      </c>
      <c r="X22" s="19"/>
      <c r="Y22" s="36"/>
      <c r="Z22" s="48"/>
      <c r="AA22" s="19"/>
      <c r="AB22" s="36"/>
      <c r="AC22" s="63">
        <f t="shared" si="8"/>
        <v>0</v>
      </c>
      <c r="AD22" s="48">
        <f t="shared" si="2"/>
        <v>1.6</v>
      </c>
      <c r="AE22" s="124">
        <f t="shared" si="9"/>
        <v>1.6</v>
      </c>
      <c r="AF22" s="162">
        <v>24.07</v>
      </c>
      <c r="AG22" s="162">
        <f t="shared" si="3"/>
        <v>25.67</v>
      </c>
      <c r="AH22" s="138">
        <f t="shared" si="10"/>
        <v>64429.44</v>
      </c>
      <c r="AI22" s="155">
        <v>64421.34</v>
      </c>
      <c r="AJ22" s="156">
        <f t="shared" si="11"/>
        <v>8.10000000000582</v>
      </c>
      <c r="AK22" s="6"/>
    </row>
    <row r="23" spans="1:37" ht="12.75">
      <c r="A23" s="92">
        <v>14</v>
      </c>
      <c r="B23" s="107" t="s">
        <v>56</v>
      </c>
      <c r="C23" s="98">
        <v>5</v>
      </c>
      <c r="D23" s="99">
        <v>3</v>
      </c>
      <c r="E23" s="99">
        <v>35</v>
      </c>
      <c r="F23" s="98" t="s">
        <v>62</v>
      </c>
      <c r="G23" s="98">
        <v>1988</v>
      </c>
      <c r="H23" s="100">
        <v>1648.6</v>
      </c>
      <c r="I23" s="18"/>
      <c r="J23" s="48"/>
      <c r="K23" s="43"/>
      <c r="L23" s="19"/>
      <c r="M23" s="48"/>
      <c r="N23" s="49">
        <f t="shared" si="5"/>
        <v>0</v>
      </c>
      <c r="O23" s="17"/>
      <c r="P23" s="36"/>
      <c r="Q23" s="57">
        <f t="shared" si="1"/>
        <v>0</v>
      </c>
      <c r="R23" s="18"/>
      <c r="S23" s="58"/>
      <c r="T23" s="118"/>
      <c r="U23" s="17"/>
      <c r="V23" s="43"/>
      <c r="W23" s="49">
        <f t="shared" si="6"/>
        <v>0</v>
      </c>
      <c r="X23" s="19"/>
      <c r="Y23" s="36"/>
      <c r="Z23" s="48"/>
      <c r="AA23" s="19"/>
      <c r="AB23" s="36"/>
      <c r="AC23" s="63">
        <f t="shared" si="8"/>
        <v>0</v>
      </c>
      <c r="AD23" s="48">
        <f t="shared" si="2"/>
        <v>0</v>
      </c>
      <c r="AE23" s="124">
        <f t="shared" si="9"/>
        <v>0</v>
      </c>
      <c r="AF23" s="162">
        <v>24.07</v>
      </c>
      <c r="AG23" s="162">
        <f t="shared" si="3"/>
        <v>24.07</v>
      </c>
      <c r="AH23" s="138">
        <f t="shared" si="10"/>
        <v>0</v>
      </c>
      <c r="AI23" s="155"/>
      <c r="AJ23" s="156">
        <f t="shared" si="11"/>
        <v>0</v>
      </c>
      <c r="AK23" s="5"/>
    </row>
    <row r="24" spans="1:37" ht="12.75">
      <c r="A24" s="101">
        <v>15</v>
      </c>
      <c r="B24" s="107" t="s">
        <v>57</v>
      </c>
      <c r="C24" s="98">
        <v>5</v>
      </c>
      <c r="D24" s="99">
        <v>6</v>
      </c>
      <c r="E24" s="99">
        <v>70</v>
      </c>
      <c r="F24" s="98" t="s">
        <v>62</v>
      </c>
      <c r="G24" s="98">
        <v>1989</v>
      </c>
      <c r="H24" s="100">
        <v>3415.5</v>
      </c>
      <c r="I24" s="18"/>
      <c r="J24" s="48"/>
      <c r="K24" s="43"/>
      <c r="L24" s="19"/>
      <c r="M24" s="48"/>
      <c r="N24" s="49">
        <f t="shared" si="5"/>
        <v>0</v>
      </c>
      <c r="O24" s="17"/>
      <c r="P24" s="36"/>
      <c r="Q24" s="57">
        <f t="shared" si="1"/>
        <v>0</v>
      </c>
      <c r="R24" s="18"/>
      <c r="S24" s="58"/>
      <c r="T24" s="118"/>
      <c r="U24" s="17"/>
      <c r="V24" s="43"/>
      <c r="W24" s="49">
        <f t="shared" si="6"/>
        <v>0</v>
      </c>
      <c r="X24" s="19"/>
      <c r="Y24" s="36"/>
      <c r="Z24" s="48"/>
      <c r="AA24" s="21">
        <f>60000/H24/12</f>
        <v>1.4639145073927684</v>
      </c>
      <c r="AB24" s="36">
        <f>ROUND(AA24,1)</f>
        <v>1.5</v>
      </c>
      <c r="AC24" s="62">
        <f t="shared" si="8"/>
        <v>61479</v>
      </c>
      <c r="AD24" s="48">
        <f t="shared" si="2"/>
        <v>1.5</v>
      </c>
      <c r="AE24" s="124">
        <f t="shared" si="9"/>
        <v>1.5</v>
      </c>
      <c r="AF24" s="162">
        <v>24.07</v>
      </c>
      <c r="AG24" s="162">
        <f t="shared" si="3"/>
        <v>25.57</v>
      </c>
      <c r="AH24" s="138">
        <f>AC24</f>
        <v>61479</v>
      </c>
      <c r="AI24" s="155">
        <v>61479.48</v>
      </c>
      <c r="AJ24" s="156">
        <f t="shared" si="11"/>
        <v>-0.4800000000032014</v>
      </c>
      <c r="AK24" s="5"/>
    </row>
    <row r="25" spans="1:37" ht="12.75">
      <c r="A25" s="92">
        <v>16</v>
      </c>
      <c r="B25" s="107" t="s">
        <v>58</v>
      </c>
      <c r="C25" s="98">
        <v>5</v>
      </c>
      <c r="D25" s="99">
        <v>3</v>
      </c>
      <c r="E25" s="99">
        <v>35</v>
      </c>
      <c r="F25" s="98" t="s">
        <v>62</v>
      </c>
      <c r="G25" s="98">
        <v>1991</v>
      </c>
      <c r="H25" s="100">
        <v>1696.78</v>
      </c>
      <c r="I25" s="18"/>
      <c r="J25" s="48"/>
      <c r="K25" s="43"/>
      <c r="L25" s="19">
        <f>21000/H25/12</f>
        <v>1.0313652919058451</v>
      </c>
      <c r="M25" s="48">
        <f>ROUND(L25,1)</f>
        <v>1</v>
      </c>
      <c r="N25" s="48">
        <f t="shared" si="5"/>
        <v>20361.36</v>
      </c>
      <c r="O25" s="17"/>
      <c r="P25" s="36"/>
      <c r="Q25" s="57">
        <f t="shared" si="1"/>
        <v>0</v>
      </c>
      <c r="R25" s="18">
        <f>28667/H25/12</f>
        <v>1.4079118487173743</v>
      </c>
      <c r="S25" s="58">
        <f>ROUND(R25,1)</f>
        <v>1.4</v>
      </c>
      <c r="T25" s="116">
        <f>S25*H25*12</f>
        <v>28505.903999999995</v>
      </c>
      <c r="U25" s="17"/>
      <c r="V25" s="43"/>
      <c r="W25" s="49">
        <f t="shared" si="6"/>
        <v>0</v>
      </c>
      <c r="X25" s="17"/>
      <c r="Y25" s="36"/>
      <c r="Z25" s="48"/>
      <c r="AA25" s="17"/>
      <c r="AB25" s="36"/>
      <c r="AC25" s="63">
        <f t="shared" si="8"/>
        <v>0</v>
      </c>
      <c r="AD25" s="48">
        <f t="shared" si="2"/>
        <v>2.4</v>
      </c>
      <c r="AE25" s="124">
        <f t="shared" si="9"/>
        <v>2.4</v>
      </c>
      <c r="AF25" s="162">
        <v>24.07</v>
      </c>
      <c r="AG25" s="162">
        <f t="shared" si="3"/>
        <v>26.47</v>
      </c>
      <c r="AH25" s="138">
        <f t="shared" si="10"/>
        <v>48867.263999999996</v>
      </c>
      <c r="AI25" s="155">
        <v>57273.29</v>
      </c>
      <c r="AJ25" s="156">
        <f t="shared" si="11"/>
        <v>-8406.026000000005</v>
      </c>
      <c r="AK25" s="6"/>
    </row>
    <row r="26" spans="1:37" ht="12.75">
      <c r="A26" s="101">
        <v>17</v>
      </c>
      <c r="B26" s="107" t="s">
        <v>59</v>
      </c>
      <c r="C26" s="98">
        <v>5</v>
      </c>
      <c r="D26" s="99">
        <v>6</v>
      </c>
      <c r="E26" s="99">
        <v>70</v>
      </c>
      <c r="F26" s="98" t="s">
        <v>62</v>
      </c>
      <c r="G26" s="98">
        <v>1989</v>
      </c>
      <c r="H26" s="100">
        <v>3349.13</v>
      </c>
      <c r="I26" s="18">
        <f>50000/H26/12</f>
        <v>1.244104190242441</v>
      </c>
      <c r="J26" s="48">
        <f>ROUND(I26,1)</f>
        <v>1.2</v>
      </c>
      <c r="K26" s="43">
        <f>J26*H26*12</f>
        <v>48227.472</v>
      </c>
      <c r="L26" s="19"/>
      <c r="M26" s="43"/>
      <c r="N26" s="52">
        <f t="shared" si="5"/>
        <v>0</v>
      </c>
      <c r="O26" s="17"/>
      <c r="P26" s="36"/>
      <c r="Q26" s="57">
        <f t="shared" si="1"/>
        <v>0</v>
      </c>
      <c r="R26" s="18">
        <f>7304/H26/12</f>
        <v>0.18173874011061578</v>
      </c>
      <c r="S26" s="58">
        <f>ROUND(R26,1)</f>
        <v>0.2</v>
      </c>
      <c r="T26" s="116">
        <f>S26*H26*12</f>
        <v>8037.912</v>
      </c>
      <c r="U26" s="17"/>
      <c r="V26" s="43"/>
      <c r="W26" s="49">
        <f t="shared" si="6"/>
        <v>0</v>
      </c>
      <c r="X26" s="17"/>
      <c r="Y26" s="36"/>
      <c r="Z26" s="48"/>
      <c r="AA26" s="19">
        <f>10000/H26/12</f>
        <v>0.2488208380484882</v>
      </c>
      <c r="AB26" s="36">
        <f>ROUND(AA26,1)</f>
        <v>0.2</v>
      </c>
      <c r="AC26" s="62">
        <f t="shared" si="8"/>
        <v>8037.912</v>
      </c>
      <c r="AD26" s="48">
        <f t="shared" si="2"/>
        <v>1.6</v>
      </c>
      <c r="AE26" s="124">
        <f t="shared" si="9"/>
        <v>1.6</v>
      </c>
      <c r="AF26" s="162">
        <v>24.07</v>
      </c>
      <c r="AG26" s="162">
        <f t="shared" si="3"/>
        <v>25.67</v>
      </c>
      <c r="AH26" s="138">
        <f t="shared" si="10"/>
        <v>56265.384000000005</v>
      </c>
      <c r="AI26" s="155">
        <v>49322</v>
      </c>
      <c r="AJ26" s="156">
        <f t="shared" si="11"/>
        <v>6943.3840000000055</v>
      </c>
      <c r="AK26" s="6"/>
    </row>
    <row r="27" spans="1:37" ht="12.75">
      <c r="A27" s="102">
        <v>18</v>
      </c>
      <c r="B27" s="107" t="s">
        <v>60</v>
      </c>
      <c r="C27" s="103">
        <v>5</v>
      </c>
      <c r="D27" s="104">
        <v>6</v>
      </c>
      <c r="E27" s="104">
        <v>70</v>
      </c>
      <c r="F27" s="103" t="s">
        <v>62</v>
      </c>
      <c r="G27" s="103">
        <v>1989</v>
      </c>
      <c r="H27" s="100">
        <v>3425.8</v>
      </c>
      <c r="I27" s="18">
        <f>50000/H27/12</f>
        <v>1.2162609220230796</v>
      </c>
      <c r="J27" s="48">
        <f>ROUND(I27,1)</f>
        <v>1.2</v>
      </c>
      <c r="K27" s="43">
        <f>J27*H27*12</f>
        <v>49331.520000000004</v>
      </c>
      <c r="L27" s="19"/>
      <c r="M27" s="43"/>
      <c r="N27" s="52">
        <f t="shared" si="5"/>
        <v>0</v>
      </c>
      <c r="O27" s="17"/>
      <c r="P27" s="36"/>
      <c r="Q27" s="57">
        <f t="shared" si="1"/>
        <v>0</v>
      </c>
      <c r="R27" s="18"/>
      <c r="S27" s="58"/>
      <c r="T27" s="118"/>
      <c r="U27" s="19">
        <f>30000/H27/12</f>
        <v>0.7297565532138478</v>
      </c>
      <c r="V27" s="43">
        <f>ROUND(U27,1)</f>
        <v>0.7</v>
      </c>
      <c r="W27" s="48">
        <f t="shared" si="6"/>
        <v>28776.72</v>
      </c>
      <c r="X27" s="17"/>
      <c r="Y27" s="36">
        <f>ROUND(X27,1)</f>
        <v>0</v>
      </c>
      <c r="Z27" s="49">
        <f t="shared" si="7"/>
        <v>0</v>
      </c>
      <c r="AA27" s="19">
        <f>18000/H27/12</f>
        <v>0.43785393192830874</v>
      </c>
      <c r="AB27" s="36">
        <f>ROUND(AA27,1)</f>
        <v>0.4</v>
      </c>
      <c r="AC27" s="62">
        <f t="shared" si="8"/>
        <v>16443.840000000004</v>
      </c>
      <c r="AD27" s="48">
        <f t="shared" si="2"/>
        <v>2.3</v>
      </c>
      <c r="AE27" s="124">
        <f t="shared" si="9"/>
        <v>2.3</v>
      </c>
      <c r="AF27" s="162">
        <v>24.07</v>
      </c>
      <c r="AG27" s="162">
        <f t="shared" si="3"/>
        <v>26.37</v>
      </c>
      <c r="AH27" s="138">
        <f t="shared" si="10"/>
        <v>78108.24</v>
      </c>
      <c r="AI27" s="155">
        <v>76988.5</v>
      </c>
      <c r="AJ27" s="156">
        <f t="shared" si="11"/>
        <v>1119.7400000000052</v>
      </c>
      <c r="AK27" s="6"/>
    </row>
    <row r="28" spans="1:37" ht="12.75">
      <c r="A28" s="101">
        <v>19</v>
      </c>
      <c r="B28" s="107" t="s">
        <v>61</v>
      </c>
      <c r="C28" s="98">
        <v>5</v>
      </c>
      <c r="D28" s="99">
        <v>3</v>
      </c>
      <c r="E28" s="99">
        <v>35</v>
      </c>
      <c r="F28" s="98" t="s">
        <v>62</v>
      </c>
      <c r="G28" s="98">
        <v>1992</v>
      </c>
      <c r="H28" s="100">
        <v>1685.39</v>
      </c>
      <c r="I28" s="18"/>
      <c r="J28" s="50"/>
      <c r="K28" s="52"/>
      <c r="L28" s="21"/>
      <c r="M28" s="43"/>
      <c r="N28" s="52">
        <f t="shared" si="5"/>
        <v>0</v>
      </c>
      <c r="O28" s="17"/>
      <c r="P28" s="36"/>
      <c r="Q28" s="57">
        <f t="shared" si="1"/>
        <v>0</v>
      </c>
      <c r="R28" s="18"/>
      <c r="S28" s="58"/>
      <c r="T28" s="118"/>
      <c r="U28" s="17"/>
      <c r="V28" s="43"/>
      <c r="W28" s="49">
        <f t="shared" si="6"/>
        <v>0</v>
      </c>
      <c r="X28" s="19">
        <f>50000/H28/12</f>
        <v>2.4722270018610923</v>
      </c>
      <c r="Y28" s="36">
        <f>ROUND(X28,1)</f>
        <v>2.5</v>
      </c>
      <c r="Z28" s="48">
        <f t="shared" si="7"/>
        <v>50561.700000000004</v>
      </c>
      <c r="AA28" s="17"/>
      <c r="AB28" s="36"/>
      <c r="AC28" s="61">
        <f t="shared" si="8"/>
        <v>0</v>
      </c>
      <c r="AD28" s="48">
        <f t="shared" si="2"/>
        <v>2.5</v>
      </c>
      <c r="AE28" s="124">
        <f t="shared" si="9"/>
        <v>2.5</v>
      </c>
      <c r="AF28" s="162">
        <v>24.07</v>
      </c>
      <c r="AG28" s="162">
        <f t="shared" si="3"/>
        <v>26.57</v>
      </c>
      <c r="AH28" s="138">
        <f t="shared" si="10"/>
        <v>50561.700000000004</v>
      </c>
      <c r="AI28" s="155">
        <v>50561.67</v>
      </c>
      <c r="AJ28" s="156">
        <f t="shared" si="11"/>
        <v>0.030000000006111804</v>
      </c>
      <c r="AK28" s="5"/>
    </row>
    <row r="29" spans="1:37" ht="12.75">
      <c r="A29" s="101">
        <v>20</v>
      </c>
      <c r="B29" s="107" t="s">
        <v>64</v>
      </c>
      <c r="C29" s="98">
        <v>9</v>
      </c>
      <c r="D29" s="99">
        <v>3</v>
      </c>
      <c r="E29" s="99">
        <v>107</v>
      </c>
      <c r="F29" s="98" t="s">
        <v>20</v>
      </c>
      <c r="G29" s="98">
        <v>1989</v>
      </c>
      <c r="H29" s="100">
        <v>5782.7</v>
      </c>
      <c r="I29" s="22"/>
      <c r="J29" s="50"/>
      <c r="K29" s="52"/>
      <c r="L29" s="17"/>
      <c r="M29" s="43"/>
      <c r="N29" s="52">
        <f t="shared" si="5"/>
        <v>0</v>
      </c>
      <c r="O29" s="17"/>
      <c r="P29" s="36"/>
      <c r="Q29" s="57">
        <f t="shared" si="1"/>
        <v>0</v>
      </c>
      <c r="R29" s="18"/>
      <c r="S29" s="58"/>
      <c r="T29" s="118"/>
      <c r="U29" s="17"/>
      <c r="V29" s="43"/>
      <c r="W29" s="49">
        <f t="shared" si="6"/>
        <v>0</v>
      </c>
      <c r="X29" s="19">
        <f>90000/H29/12</f>
        <v>1.2969720026977019</v>
      </c>
      <c r="Y29" s="36">
        <f>ROUND(X29,1)</f>
        <v>1.3</v>
      </c>
      <c r="Z29" s="48">
        <f t="shared" si="7"/>
        <v>90210.12</v>
      </c>
      <c r="AA29" s="17"/>
      <c r="AB29" s="36"/>
      <c r="AC29" s="61">
        <f t="shared" si="8"/>
        <v>0</v>
      </c>
      <c r="AD29" s="48">
        <f t="shared" si="2"/>
        <v>1.3</v>
      </c>
      <c r="AE29" s="124">
        <f t="shared" si="9"/>
        <v>1.3</v>
      </c>
      <c r="AF29" s="162">
        <v>24.07</v>
      </c>
      <c r="AG29" s="162">
        <f t="shared" si="3"/>
        <v>25.37</v>
      </c>
      <c r="AH29" s="138">
        <f t="shared" si="10"/>
        <v>90210.12</v>
      </c>
      <c r="AI29" s="155">
        <v>90210.36</v>
      </c>
      <c r="AJ29" s="156">
        <f t="shared" si="11"/>
        <v>-0.2400000000052387</v>
      </c>
      <c r="AK29" s="5"/>
    </row>
    <row r="30" spans="1:37" ht="12.75">
      <c r="A30" s="101">
        <v>21</v>
      </c>
      <c r="B30" s="108" t="s">
        <v>65</v>
      </c>
      <c r="C30" s="94">
        <v>9</v>
      </c>
      <c r="D30" s="95">
        <v>2</v>
      </c>
      <c r="E30" s="95">
        <v>71</v>
      </c>
      <c r="F30" s="94" t="s">
        <v>20</v>
      </c>
      <c r="G30" s="94">
        <v>1988</v>
      </c>
      <c r="H30" s="96">
        <v>3856.2</v>
      </c>
      <c r="I30" s="22"/>
      <c r="J30" s="50"/>
      <c r="K30" s="52"/>
      <c r="L30" s="17"/>
      <c r="M30" s="43"/>
      <c r="N30" s="52">
        <f t="shared" si="5"/>
        <v>0</v>
      </c>
      <c r="O30" s="17"/>
      <c r="P30" s="36"/>
      <c r="Q30" s="57">
        <f t="shared" si="1"/>
        <v>0</v>
      </c>
      <c r="R30" s="18"/>
      <c r="S30" s="58"/>
      <c r="T30" s="118"/>
      <c r="U30" s="19">
        <f>60000/H30/12</f>
        <v>1.2966132462009232</v>
      </c>
      <c r="V30" s="43">
        <f>ROUND(U30,1)</f>
        <v>1.3</v>
      </c>
      <c r="W30" s="48">
        <f t="shared" si="6"/>
        <v>60156.719999999994</v>
      </c>
      <c r="X30" s="17"/>
      <c r="Y30" s="36"/>
      <c r="Z30" s="49">
        <f t="shared" si="7"/>
        <v>0</v>
      </c>
      <c r="AA30" s="17"/>
      <c r="AB30" s="36"/>
      <c r="AC30" s="61">
        <f t="shared" si="8"/>
        <v>0</v>
      </c>
      <c r="AD30" s="48">
        <f t="shared" si="2"/>
        <v>1.3</v>
      </c>
      <c r="AE30" s="124">
        <f t="shared" si="9"/>
        <v>1.3</v>
      </c>
      <c r="AF30" s="162">
        <v>24.07</v>
      </c>
      <c r="AG30" s="162">
        <f t="shared" si="3"/>
        <v>25.37</v>
      </c>
      <c r="AH30" s="138">
        <f t="shared" si="10"/>
        <v>60156.719999999994</v>
      </c>
      <c r="AI30" s="155">
        <v>60156</v>
      </c>
      <c r="AJ30" s="156">
        <f t="shared" si="11"/>
        <v>0.7199999999938882</v>
      </c>
      <c r="AK30" s="5"/>
    </row>
    <row r="31" spans="1:37" ht="12.75">
      <c r="A31" s="101">
        <v>22</v>
      </c>
      <c r="B31" s="107" t="s">
        <v>66</v>
      </c>
      <c r="C31" s="98">
        <v>9</v>
      </c>
      <c r="D31" s="99">
        <v>3</v>
      </c>
      <c r="E31" s="99">
        <v>107</v>
      </c>
      <c r="F31" s="98" t="s">
        <v>20</v>
      </c>
      <c r="G31" s="98">
        <v>1988</v>
      </c>
      <c r="H31" s="100">
        <v>5854.28</v>
      </c>
      <c r="I31" s="22"/>
      <c r="J31" s="50"/>
      <c r="K31" s="52"/>
      <c r="L31" s="17"/>
      <c r="M31" s="43"/>
      <c r="N31" s="52">
        <f t="shared" si="5"/>
        <v>0</v>
      </c>
      <c r="O31" s="17"/>
      <c r="P31" s="36"/>
      <c r="Q31" s="57">
        <f t="shared" si="1"/>
        <v>0</v>
      </c>
      <c r="R31" s="18"/>
      <c r="S31" s="58"/>
      <c r="T31" s="118"/>
      <c r="U31" s="19">
        <f>20072/H31/12</f>
        <v>0.2857168886125479</v>
      </c>
      <c r="V31" s="43">
        <f>ROUND(U31,1)</f>
        <v>0.3</v>
      </c>
      <c r="W31" s="48">
        <f t="shared" si="6"/>
        <v>21075.408</v>
      </c>
      <c r="X31" s="19">
        <f>90000/H31/12</f>
        <v>1.2811139883982319</v>
      </c>
      <c r="Y31" s="36">
        <f>ROUND(X31,1)</f>
        <v>1.3</v>
      </c>
      <c r="Z31" s="48">
        <f t="shared" si="7"/>
        <v>91326.76800000001</v>
      </c>
      <c r="AA31" s="17"/>
      <c r="AB31" s="36"/>
      <c r="AC31" s="61">
        <f t="shared" si="8"/>
        <v>0</v>
      </c>
      <c r="AD31" s="48">
        <f t="shared" si="2"/>
        <v>1.6</v>
      </c>
      <c r="AE31" s="124">
        <f t="shared" si="9"/>
        <v>1.6</v>
      </c>
      <c r="AF31" s="162">
        <v>24.07</v>
      </c>
      <c r="AG31" s="162">
        <f t="shared" si="3"/>
        <v>25.67</v>
      </c>
      <c r="AH31" s="138">
        <f t="shared" si="10"/>
        <v>112402.176</v>
      </c>
      <c r="AI31" s="155">
        <v>112379.12</v>
      </c>
      <c r="AJ31" s="156">
        <f t="shared" si="11"/>
        <v>23.05600000001141</v>
      </c>
      <c r="AK31" s="5"/>
    </row>
    <row r="32" spans="1:37" ht="12.75">
      <c r="A32" s="101">
        <v>23</v>
      </c>
      <c r="B32" s="107" t="s">
        <v>67</v>
      </c>
      <c r="C32" s="98">
        <v>9</v>
      </c>
      <c r="D32" s="99">
        <v>2</v>
      </c>
      <c r="E32" s="99">
        <v>71</v>
      </c>
      <c r="F32" s="98" t="s">
        <v>20</v>
      </c>
      <c r="G32" s="98">
        <v>1988</v>
      </c>
      <c r="H32" s="100">
        <v>3845.77</v>
      </c>
      <c r="I32" s="22"/>
      <c r="J32" s="50"/>
      <c r="K32" s="52"/>
      <c r="L32" s="17"/>
      <c r="M32" s="43"/>
      <c r="N32" s="52">
        <f t="shared" si="5"/>
        <v>0</v>
      </c>
      <c r="O32" s="17"/>
      <c r="P32" s="36"/>
      <c r="Q32" s="57">
        <f t="shared" si="1"/>
        <v>0</v>
      </c>
      <c r="R32" s="18">
        <f>25778/H32/12</f>
        <v>0.55857907952547</v>
      </c>
      <c r="S32" s="58">
        <f>ROUND(R32,1)</f>
        <v>0.6</v>
      </c>
      <c r="T32" s="116">
        <f>S32*H32*12</f>
        <v>27689.544</v>
      </c>
      <c r="U32" s="17"/>
      <c r="V32" s="43"/>
      <c r="W32" s="52">
        <f t="shared" si="6"/>
        <v>0</v>
      </c>
      <c r="X32" s="17"/>
      <c r="Y32" s="36"/>
      <c r="Z32" s="49">
        <f t="shared" si="7"/>
        <v>0</v>
      </c>
      <c r="AA32" s="17"/>
      <c r="AB32" s="36"/>
      <c r="AC32" s="61">
        <f t="shared" si="8"/>
        <v>0</v>
      </c>
      <c r="AD32" s="48">
        <f t="shared" si="2"/>
        <v>0.6</v>
      </c>
      <c r="AE32" s="124">
        <f t="shared" si="9"/>
        <v>0.6</v>
      </c>
      <c r="AF32" s="162">
        <v>24.07</v>
      </c>
      <c r="AG32" s="162">
        <f t="shared" si="3"/>
        <v>24.67</v>
      </c>
      <c r="AH32" s="138">
        <f t="shared" si="10"/>
        <v>27689.544</v>
      </c>
      <c r="AI32" s="155">
        <v>27684.3</v>
      </c>
      <c r="AJ32" s="156">
        <f t="shared" si="11"/>
        <v>5.244000000002416</v>
      </c>
      <c r="AK32" s="5"/>
    </row>
    <row r="33" spans="1:37" ht="12.75">
      <c r="A33" s="99">
        <v>24</v>
      </c>
      <c r="B33" s="107" t="s">
        <v>68</v>
      </c>
      <c r="C33" s="98">
        <v>9</v>
      </c>
      <c r="D33" s="99">
        <v>3</v>
      </c>
      <c r="E33" s="99">
        <v>107</v>
      </c>
      <c r="F33" s="98" t="s">
        <v>20</v>
      </c>
      <c r="G33" s="98">
        <v>1989</v>
      </c>
      <c r="H33" s="100">
        <f>5852.4</f>
        <v>5852.4</v>
      </c>
      <c r="I33" s="22"/>
      <c r="J33" s="50"/>
      <c r="K33" s="52"/>
      <c r="L33" s="17"/>
      <c r="M33" s="43"/>
      <c r="N33" s="52">
        <f t="shared" si="5"/>
        <v>0</v>
      </c>
      <c r="O33" s="17"/>
      <c r="P33" s="36"/>
      <c r="Q33" s="57">
        <f t="shared" si="1"/>
        <v>0</v>
      </c>
      <c r="R33" s="16"/>
      <c r="S33" s="57">
        <f>ROUND(R33,2)</f>
        <v>0</v>
      </c>
      <c r="T33" s="117"/>
      <c r="U33" s="17"/>
      <c r="V33" s="43"/>
      <c r="W33" s="52">
        <f t="shared" si="6"/>
        <v>0</v>
      </c>
      <c r="X33" s="19">
        <f>180000/H33/12</f>
        <v>2.563051055977035</v>
      </c>
      <c r="Y33" s="36">
        <f>ROUND(X33,1)</f>
        <v>2.6</v>
      </c>
      <c r="Z33" s="48">
        <f t="shared" si="7"/>
        <v>182594.88</v>
      </c>
      <c r="AA33" s="17"/>
      <c r="AB33" s="36"/>
      <c r="AC33" s="61">
        <f t="shared" si="8"/>
        <v>0</v>
      </c>
      <c r="AD33" s="48">
        <f t="shared" si="2"/>
        <v>2.6</v>
      </c>
      <c r="AE33" s="124">
        <f t="shared" si="9"/>
        <v>2.6</v>
      </c>
      <c r="AF33" s="162">
        <v>24.07</v>
      </c>
      <c r="AG33" s="162">
        <f t="shared" si="3"/>
        <v>26.67</v>
      </c>
      <c r="AH33" s="138">
        <f t="shared" si="10"/>
        <v>182594.88</v>
      </c>
      <c r="AI33" s="155">
        <v>182594.16</v>
      </c>
      <c r="AJ33" s="156">
        <f t="shared" si="11"/>
        <v>0.7200000000011642</v>
      </c>
      <c r="AK33" s="5"/>
    </row>
    <row r="34" spans="1:37" ht="12.75">
      <c r="A34" s="99">
        <v>25</v>
      </c>
      <c r="B34" s="107" t="s">
        <v>69</v>
      </c>
      <c r="C34" s="98">
        <v>9</v>
      </c>
      <c r="D34" s="99">
        <v>3</v>
      </c>
      <c r="E34" s="99">
        <v>107</v>
      </c>
      <c r="F34" s="98" t="s">
        <v>20</v>
      </c>
      <c r="G34" s="98">
        <v>1989</v>
      </c>
      <c r="H34" s="100">
        <v>5841.02</v>
      </c>
      <c r="I34" s="22"/>
      <c r="J34" s="50"/>
      <c r="K34" s="52"/>
      <c r="L34" s="17"/>
      <c r="M34" s="43"/>
      <c r="N34" s="52">
        <f t="shared" si="5"/>
        <v>0</v>
      </c>
      <c r="O34" s="17"/>
      <c r="P34" s="36"/>
      <c r="Q34" s="57">
        <f t="shared" si="1"/>
        <v>0</v>
      </c>
      <c r="R34" s="16"/>
      <c r="S34" s="57">
        <f>ROUND(R34,2)</f>
        <v>0</v>
      </c>
      <c r="T34" s="57"/>
      <c r="U34" s="17"/>
      <c r="V34" s="43"/>
      <c r="W34" s="52">
        <f t="shared" si="6"/>
        <v>0</v>
      </c>
      <c r="X34" s="19">
        <f>90000/H34/12</f>
        <v>1.2840223111716789</v>
      </c>
      <c r="Y34" s="36">
        <f>ROUND(X34,1)</f>
        <v>1.3</v>
      </c>
      <c r="Z34" s="48">
        <f t="shared" si="7"/>
        <v>91119.91200000001</v>
      </c>
      <c r="AA34" s="17"/>
      <c r="AB34" s="36"/>
      <c r="AC34" s="61">
        <f t="shared" si="8"/>
        <v>0</v>
      </c>
      <c r="AD34" s="48">
        <f t="shared" si="2"/>
        <v>1.3</v>
      </c>
      <c r="AE34" s="124">
        <f t="shared" si="9"/>
        <v>1.3</v>
      </c>
      <c r="AF34" s="162">
        <v>24.07</v>
      </c>
      <c r="AG34" s="162">
        <f t="shared" si="3"/>
        <v>25.37</v>
      </c>
      <c r="AH34" s="138">
        <f t="shared" si="10"/>
        <v>91119.91200000001</v>
      </c>
      <c r="AI34" s="155">
        <v>91116.48</v>
      </c>
      <c r="AJ34" s="156">
        <f t="shared" si="11"/>
        <v>3.4320000000152504</v>
      </c>
      <c r="AK34" s="5"/>
    </row>
    <row r="35" spans="1:37" ht="13.5" thickBot="1">
      <c r="A35" s="69"/>
      <c r="B35" s="69"/>
      <c r="C35" s="105"/>
      <c r="D35" s="69"/>
      <c r="E35" s="106"/>
      <c r="F35" s="105"/>
      <c r="G35" s="105"/>
      <c r="H35" s="109">
        <f>SUM(H10:H34)</f>
        <v>80098.58999999998</v>
      </c>
      <c r="I35" s="23"/>
      <c r="J35" s="50"/>
      <c r="K35" s="53"/>
      <c r="L35" s="17"/>
      <c r="M35" s="43"/>
      <c r="N35" s="36"/>
      <c r="O35" s="17"/>
      <c r="P35" s="36"/>
      <c r="Q35" s="59"/>
      <c r="R35" s="16"/>
      <c r="S35" s="59"/>
      <c r="T35" s="116"/>
      <c r="U35" s="17"/>
      <c r="V35" s="57"/>
      <c r="W35" s="36"/>
      <c r="X35" s="17"/>
      <c r="Y35" s="36"/>
      <c r="Z35" s="36"/>
      <c r="AA35" s="17"/>
      <c r="AB35" s="36"/>
      <c r="AC35" s="37"/>
      <c r="AD35" s="36"/>
      <c r="AE35" s="113"/>
      <c r="AF35" s="69"/>
      <c r="AG35" s="71">
        <f t="shared" si="3"/>
        <v>0</v>
      </c>
      <c r="AH35" s="157">
        <f>SUM(AH10:AH34)</f>
        <v>1484594.2199999997</v>
      </c>
      <c r="AI35" s="158">
        <f>SUM(AI10:AI34)</f>
        <v>1464783.58</v>
      </c>
      <c r="AJ35" s="159">
        <f>SUM(AJ10:AJ34)</f>
        <v>19810.64000000006</v>
      </c>
      <c r="AK35" s="5"/>
    </row>
    <row r="36" spans="1:37" ht="13.5" thickBot="1">
      <c r="A36" s="6"/>
      <c r="B36" s="69"/>
      <c r="C36" s="105"/>
      <c r="D36" s="69"/>
      <c r="E36" s="69"/>
      <c r="F36" s="105"/>
      <c r="G36" s="105"/>
      <c r="H36" s="68"/>
      <c r="I36" s="17"/>
      <c r="J36" s="51"/>
      <c r="K36" s="54">
        <f>SUM(K10:K35)</f>
        <v>280385.424</v>
      </c>
      <c r="L36" s="33"/>
      <c r="M36" s="51"/>
      <c r="N36" s="60">
        <f>SUM(N10:N35)</f>
        <v>76546.104</v>
      </c>
      <c r="O36" s="33"/>
      <c r="P36" s="55"/>
      <c r="Q36" s="60">
        <f>SUM(Q10:Q35)</f>
        <v>6017.759999999999</v>
      </c>
      <c r="R36" s="33"/>
      <c r="S36" s="51"/>
      <c r="T36" s="116">
        <v>237710.8</v>
      </c>
      <c r="U36" s="33"/>
      <c r="V36" s="51"/>
      <c r="W36" s="60">
        <f>SUM(W10:W35)</f>
        <v>162138.16799999998</v>
      </c>
      <c r="X36" s="33"/>
      <c r="Y36" s="51"/>
      <c r="Z36" s="60">
        <f>SUM(Z10:Z35)</f>
        <v>660316.908</v>
      </c>
      <c r="AA36" s="33"/>
      <c r="AB36" s="51"/>
      <c r="AC36" s="64">
        <f>SUM(AC10:AC35)</f>
        <v>118203.50400000002</v>
      </c>
      <c r="AD36" s="65"/>
      <c r="AE36" s="115"/>
      <c r="AF36" s="70"/>
      <c r="AG36" s="79">
        <f>SUM(AG10:AG35)/25</f>
        <v>25.645999999999994</v>
      </c>
      <c r="AH36" s="140"/>
      <c r="AI36" s="142"/>
      <c r="AJ36" s="142"/>
      <c r="AK36" s="5"/>
    </row>
    <row r="37" spans="1:37" ht="12.75">
      <c r="A37" s="39"/>
      <c r="B37" s="39"/>
      <c r="C37" s="28"/>
      <c r="D37" s="39"/>
      <c r="E37" s="39"/>
      <c r="F37" s="24"/>
      <c r="G37" s="24"/>
      <c r="H37" s="45"/>
      <c r="I37" s="25"/>
      <c r="J37" s="26"/>
      <c r="K37" s="26"/>
      <c r="L37" s="25"/>
      <c r="M37" s="38"/>
      <c r="N37" s="27"/>
      <c r="O37" s="24"/>
      <c r="P37" s="26"/>
      <c r="Q37" s="26"/>
      <c r="R37" s="24"/>
      <c r="S37" s="26"/>
      <c r="T37" s="26"/>
      <c r="U37" s="24"/>
      <c r="V37" s="26"/>
      <c r="W37" s="26"/>
      <c r="X37" s="24"/>
      <c r="Y37" s="26"/>
      <c r="Z37" s="26"/>
      <c r="AA37" s="24"/>
      <c r="AB37" s="26"/>
      <c r="AC37" s="375" t="s">
        <v>80</v>
      </c>
      <c r="AD37" s="375"/>
      <c r="AE37" s="376"/>
      <c r="AF37" s="375"/>
      <c r="AG37" s="373"/>
      <c r="AH37" s="374"/>
      <c r="AI37" s="4"/>
      <c r="AJ37" s="4"/>
      <c r="AK37" s="5"/>
    </row>
    <row r="38" spans="1:37" ht="12.75">
      <c r="A38" s="379"/>
      <c r="B38" s="379"/>
      <c r="C38" s="380"/>
      <c r="D38" s="379"/>
      <c r="E38" s="39" t="s">
        <v>85</v>
      </c>
      <c r="F38" s="5"/>
      <c r="G38" s="5"/>
      <c r="H38" s="46"/>
      <c r="I38" s="7"/>
      <c r="J38" s="10"/>
      <c r="K38" s="10"/>
      <c r="L38" s="7"/>
      <c r="M38" s="6"/>
      <c r="N38" s="4"/>
      <c r="O38" s="5"/>
      <c r="P38" s="10"/>
      <c r="Q38" s="10"/>
      <c r="R38" s="5"/>
      <c r="S38" s="10"/>
      <c r="T38" s="91" t="s">
        <v>86</v>
      </c>
      <c r="U38" s="5"/>
      <c r="V38" s="10"/>
      <c r="W38" s="10"/>
      <c r="X38" s="5"/>
      <c r="Y38" s="10"/>
      <c r="Z38" s="10"/>
      <c r="AA38" s="5"/>
      <c r="AB38" s="10"/>
      <c r="AC38" s="6"/>
      <c r="AD38" s="10"/>
      <c r="AE38" s="114"/>
      <c r="AF38" s="6"/>
      <c r="AG38" s="6"/>
      <c r="AH38" s="6"/>
      <c r="AI38" s="4"/>
      <c r="AJ38" s="4"/>
      <c r="AK38" s="5"/>
    </row>
    <row r="39" spans="1:37" ht="12.75">
      <c r="A39" s="6"/>
      <c r="B39" s="6"/>
      <c r="C39" s="5"/>
      <c r="D39" s="6"/>
      <c r="E39" s="6"/>
      <c r="F39" s="5" t="s">
        <v>71</v>
      </c>
      <c r="G39" s="5"/>
      <c r="H39" s="46"/>
      <c r="I39" s="7"/>
      <c r="J39" s="10"/>
      <c r="K39" s="10"/>
      <c r="L39" s="7"/>
      <c r="M39" s="6"/>
      <c r="N39" s="4"/>
      <c r="O39" s="8"/>
      <c r="P39" s="56"/>
      <c r="Q39" s="56"/>
      <c r="R39" s="5"/>
      <c r="S39" s="10"/>
      <c r="T39" s="10"/>
      <c r="U39" s="5"/>
      <c r="V39" s="10"/>
      <c r="W39" s="10"/>
      <c r="X39" s="5"/>
      <c r="Y39" s="10"/>
      <c r="Z39" s="10"/>
      <c r="AA39" s="5"/>
      <c r="AB39" s="10"/>
      <c r="AC39" s="6"/>
      <c r="AD39" s="10"/>
      <c r="AE39" s="114"/>
      <c r="AF39" s="6"/>
      <c r="AG39" s="6"/>
      <c r="AH39" s="6"/>
      <c r="AI39" s="160">
        <f>AI35*100/AH35</f>
        <v>98.66558553622822</v>
      </c>
      <c r="AJ39" s="4"/>
      <c r="AK39" s="5"/>
    </row>
    <row r="40" spans="1:37" ht="12.75">
      <c r="A40" s="379"/>
      <c r="B40" s="379"/>
      <c r="C40" s="380"/>
      <c r="D40" s="379"/>
      <c r="E40" s="39"/>
      <c r="F40" s="5"/>
      <c r="G40" s="5"/>
      <c r="H40" s="46"/>
      <c r="I40" s="7"/>
      <c r="J40" s="10"/>
      <c r="K40" s="10"/>
      <c r="L40" s="7"/>
      <c r="M40" s="6"/>
      <c r="N40" s="4"/>
      <c r="O40" s="5"/>
      <c r="P40" s="10"/>
      <c r="Q40" s="10"/>
      <c r="R40" s="5"/>
      <c r="S40" s="10"/>
      <c r="T40" s="10"/>
      <c r="U40" s="5"/>
      <c r="V40" s="10"/>
      <c r="W40" s="10"/>
      <c r="X40" s="5"/>
      <c r="Y40" s="10"/>
      <c r="Z40" s="10"/>
      <c r="AA40" s="5"/>
      <c r="AB40" s="10"/>
      <c r="AC40" s="6"/>
      <c r="AD40" s="10"/>
      <c r="AE40" s="114"/>
      <c r="AF40" s="6"/>
      <c r="AG40" s="6"/>
      <c r="AH40" s="6"/>
      <c r="AI40" s="4"/>
      <c r="AJ40" s="4"/>
      <c r="AK40" s="5"/>
    </row>
    <row r="41" spans="1:35" ht="12.75">
      <c r="A41" s="6"/>
      <c r="B41" s="6"/>
      <c r="C41" s="5"/>
      <c r="D41" s="6"/>
      <c r="E41" s="6"/>
      <c r="F41" s="5"/>
      <c r="G41" s="5"/>
      <c r="H41" s="46"/>
      <c r="I41" s="7"/>
      <c r="J41" s="10"/>
      <c r="K41" s="10"/>
      <c r="L41" s="7"/>
      <c r="M41" s="6"/>
      <c r="N41" s="4"/>
      <c r="O41" s="5"/>
      <c r="P41" s="10"/>
      <c r="Q41" s="10"/>
      <c r="R41" s="5"/>
      <c r="S41" s="10"/>
      <c r="T41" s="10"/>
      <c r="U41" s="5"/>
      <c r="V41" s="10"/>
      <c r="W41" s="10"/>
      <c r="X41" s="5"/>
      <c r="Y41" s="10"/>
      <c r="Z41" s="10"/>
      <c r="AA41" s="5"/>
      <c r="AB41" s="10"/>
      <c r="AC41" s="6"/>
      <c r="AD41" s="10"/>
      <c r="AE41" s="114"/>
      <c r="AF41" s="6"/>
      <c r="AG41" s="6"/>
      <c r="AH41" s="6"/>
      <c r="AI41" s="4"/>
    </row>
    <row r="42" spans="1:35" ht="12.75">
      <c r="A42" s="6"/>
      <c r="B42" s="6"/>
      <c r="C42" s="5"/>
      <c r="D42" s="6"/>
      <c r="E42" s="6"/>
      <c r="F42" s="5"/>
      <c r="G42" s="5" t="s">
        <v>71</v>
      </c>
      <c r="H42" s="46"/>
      <c r="I42" s="7"/>
      <c r="J42" s="10"/>
      <c r="K42" s="10"/>
      <c r="L42" s="7"/>
      <c r="M42" s="6"/>
      <c r="N42" s="4"/>
      <c r="O42" s="5"/>
      <c r="P42" s="10"/>
      <c r="Q42" s="10"/>
      <c r="R42" s="5"/>
      <c r="S42" s="10"/>
      <c r="T42" s="10"/>
      <c r="U42" s="5"/>
      <c r="V42" s="10"/>
      <c r="W42" s="10"/>
      <c r="X42" s="5"/>
      <c r="Y42" s="10"/>
      <c r="Z42" s="10"/>
      <c r="AA42" s="5"/>
      <c r="AB42" s="10"/>
      <c r="AC42" s="6"/>
      <c r="AD42" s="10"/>
      <c r="AE42" s="114"/>
      <c r="AF42" s="6"/>
      <c r="AG42" s="6"/>
      <c r="AH42" s="6"/>
      <c r="AI42" s="4"/>
    </row>
    <row r="43" spans="1:35" ht="12.75">
      <c r="A43" s="6"/>
      <c r="B43" s="6"/>
      <c r="C43" s="5"/>
      <c r="D43" s="6"/>
      <c r="E43" s="6"/>
      <c r="F43" s="5"/>
      <c r="G43" s="5"/>
      <c r="H43" s="46"/>
      <c r="I43" s="7"/>
      <c r="J43" s="10"/>
      <c r="K43" s="10"/>
      <c r="L43" s="7"/>
      <c r="M43" s="6"/>
      <c r="N43" s="4"/>
      <c r="O43" s="5"/>
      <c r="P43" s="10"/>
      <c r="Q43" s="10"/>
      <c r="R43" s="5"/>
      <c r="S43" s="10"/>
      <c r="T43" s="10"/>
      <c r="U43" s="5"/>
      <c r="V43" s="10"/>
      <c r="W43" s="10"/>
      <c r="X43" s="5"/>
      <c r="Y43" s="10"/>
      <c r="Z43" s="10"/>
      <c r="AA43" s="5"/>
      <c r="AB43" s="10"/>
      <c r="AC43" s="6"/>
      <c r="AD43" s="10"/>
      <c r="AE43" s="114"/>
      <c r="AF43" s="6"/>
      <c r="AG43" s="6"/>
      <c r="AH43" s="6"/>
      <c r="AI43" s="4"/>
    </row>
    <row r="44" spans="1:35" ht="12.75">
      <c r="A44" s="6"/>
      <c r="B44" s="6"/>
      <c r="C44" s="5"/>
      <c r="D44" s="6"/>
      <c r="E44" s="6"/>
      <c r="F44" s="5"/>
      <c r="G44" s="5"/>
      <c r="H44" s="46"/>
      <c r="I44" s="7"/>
      <c r="J44" s="10"/>
      <c r="K44" s="10"/>
      <c r="L44" s="7"/>
      <c r="M44" s="6"/>
      <c r="N44" s="4"/>
      <c r="O44" s="5"/>
      <c r="P44" s="10"/>
      <c r="Q44" s="10"/>
      <c r="R44" s="5"/>
      <c r="S44" s="10"/>
      <c r="T44" s="10"/>
      <c r="U44" s="5"/>
      <c r="V44" s="10"/>
      <c r="W44" s="10"/>
      <c r="X44" s="5"/>
      <c r="Y44" s="10"/>
      <c r="Z44" s="10"/>
      <c r="AA44" s="5"/>
      <c r="AB44" s="10"/>
      <c r="AC44" s="6"/>
      <c r="AD44" s="10"/>
      <c r="AE44" s="114"/>
      <c r="AF44" s="6"/>
      <c r="AG44" s="6"/>
      <c r="AH44" s="6"/>
      <c r="AI44" s="4"/>
    </row>
    <row r="45" spans="1:35" ht="12.75">
      <c r="A45" s="6"/>
      <c r="B45" s="6"/>
      <c r="C45" s="5"/>
      <c r="D45" s="6"/>
      <c r="E45" s="6"/>
      <c r="F45" s="5"/>
      <c r="G45" s="5"/>
      <c r="H45" s="46"/>
      <c r="I45" s="7"/>
      <c r="J45" s="10"/>
      <c r="K45" s="10"/>
      <c r="L45" s="7"/>
      <c r="M45" s="6"/>
      <c r="N45" s="4"/>
      <c r="O45" s="5"/>
      <c r="P45" s="10"/>
      <c r="Q45" s="10"/>
      <c r="R45" s="5"/>
      <c r="S45" s="10"/>
      <c r="T45" s="10"/>
      <c r="U45" s="5"/>
      <c r="V45" s="10"/>
      <c r="W45" s="10"/>
      <c r="X45" s="5"/>
      <c r="Y45" s="10"/>
      <c r="Z45" s="10"/>
      <c r="AA45" s="5"/>
      <c r="AB45" s="10"/>
      <c r="AC45" s="6"/>
      <c r="AD45" s="10"/>
      <c r="AE45" s="114"/>
      <c r="AF45" s="6"/>
      <c r="AG45" s="6"/>
      <c r="AH45" s="6"/>
      <c r="AI45" s="4"/>
    </row>
    <row r="46" spans="1:14" ht="12.75">
      <c r="A46" s="6"/>
      <c r="B46" s="6"/>
      <c r="C46" s="5"/>
      <c r="D46" s="6"/>
      <c r="E46" s="6"/>
      <c r="F46" s="5"/>
      <c r="G46" s="5"/>
      <c r="H46" s="46"/>
      <c r="I46" s="7"/>
      <c r="J46" s="10"/>
      <c r="K46" s="10"/>
      <c r="L46" s="7"/>
      <c r="M46" s="6"/>
      <c r="N46" s="4"/>
    </row>
    <row r="47" spans="1:14" ht="12.75">
      <c r="A47" s="6"/>
      <c r="B47" s="6"/>
      <c r="C47" s="5"/>
      <c r="D47" s="6"/>
      <c r="E47" s="6"/>
      <c r="F47" s="5"/>
      <c r="G47" s="5"/>
      <c r="H47" s="46"/>
      <c r="I47" s="7"/>
      <c r="J47" s="10"/>
      <c r="K47" s="10"/>
      <c r="L47" s="7"/>
      <c r="M47" s="6"/>
      <c r="N47" s="4"/>
    </row>
    <row r="48" spans="1:14" ht="12.75">
      <c r="A48" s="6"/>
      <c r="B48" s="6"/>
      <c r="C48" s="5"/>
      <c r="D48" s="6"/>
      <c r="E48" s="6"/>
      <c r="F48" s="5"/>
      <c r="G48" s="5"/>
      <c r="H48" s="46"/>
      <c r="I48" s="7"/>
      <c r="J48" s="10"/>
      <c r="K48" s="10"/>
      <c r="L48" s="7"/>
      <c r="M48" s="6"/>
      <c r="N48" s="4"/>
    </row>
    <row r="49" spans="1:14" ht="12.75">
      <c r="A49" s="6"/>
      <c r="B49" s="6"/>
      <c r="C49" s="5"/>
      <c r="D49" s="6"/>
      <c r="E49" s="6"/>
      <c r="F49" s="5"/>
      <c r="G49" s="5"/>
      <c r="H49" s="46"/>
      <c r="I49" s="7"/>
      <c r="J49" s="10"/>
      <c r="K49" s="10"/>
      <c r="L49" s="7"/>
      <c r="M49" s="6"/>
      <c r="N49" s="4"/>
    </row>
    <row r="50" spans="1:14" ht="12.75">
      <c r="A50" s="6"/>
      <c r="B50" s="6"/>
      <c r="C50" s="5"/>
      <c r="D50" s="6"/>
      <c r="E50" s="6"/>
      <c r="F50" s="5"/>
      <c r="G50" s="5"/>
      <c r="H50" s="46"/>
      <c r="I50" s="7"/>
      <c r="J50" s="10"/>
      <c r="K50" s="10"/>
      <c r="L50" s="7"/>
      <c r="M50" s="6"/>
      <c r="N50" s="4"/>
    </row>
    <row r="51" spans="1:14" ht="12.75">
      <c r="A51" s="6"/>
      <c r="B51" s="6"/>
      <c r="C51" s="5"/>
      <c r="D51" s="6"/>
      <c r="E51" s="6"/>
      <c r="F51" s="5"/>
      <c r="G51" s="5"/>
      <c r="H51" s="46"/>
      <c r="I51" s="7"/>
      <c r="J51" s="10"/>
      <c r="K51" s="10"/>
      <c r="L51" s="7"/>
      <c r="M51" s="6"/>
      <c r="N51" s="4"/>
    </row>
    <row r="52" spans="1:14" ht="12.75">
      <c r="A52" s="6"/>
      <c r="B52" s="6"/>
      <c r="C52" s="5"/>
      <c r="D52" s="6"/>
      <c r="E52" s="6"/>
      <c r="F52" s="5"/>
      <c r="G52" s="5"/>
      <c r="H52" s="46"/>
      <c r="I52" s="7"/>
      <c r="J52" s="10"/>
      <c r="K52" s="10"/>
      <c r="L52" s="7"/>
      <c r="M52" s="6"/>
      <c r="N52" s="4"/>
    </row>
    <row r="53" spans="1:14" ht="12.75">
      <c r="A53" s="6"/>
      <c r="B53" s="6"/>
      <c r="C53" s="5"/>
      <c r="D53" s="6"/>
      <c r="E53" s="6"/>
      <c r="F53" s="5"/>
      <c r="G53" s="5"/>
      <c r="H53" s="46"/>
      <c r="I53" s="7"/>
      <c r="J53" s="10"/>
      <c r="K53" s="10"/>
      <c r="L53" s="7"/>
      <c r="M53" s="6"/>
      <c r="N53" s="4"/>
    </row>
    <row r="54" spans="1:14" ht="12.75">
      <c r="A54" s="6"/>
      <c r="B54" s="6"/>
      <c r="C54" s="5"/>
      <c r="D54" s="6"/>
      <c r="E54" s="6"/>
      <c r="F54" s="5"/>
      <c r="G54" s="5"/>
      <c r="H54" s="46"/>
      <c r="I54" s="7"/>
      <c r="J54" s="10"/>
      <c r="K54" s="10"/>
      <c r="L54" s="7"/>
      <c r="M54" s="6"/>
      <c r="N54" s="4"/>
    </row>
    <row r="55" spans="1:14" ht="12.75">
      <c r="A55" s="6"/>
      <c r="B55" s="6"/>
      <c r="C55" s="5"/>
      <c r="D55" s="6"/>
      <c r="E55" s="6"/>
      <c r="F55" s="5"/>
      <c r="G55" s="5"/>
      <c r="H55" s="46"/>
      <c r="I55" s="7"/>
      <c r="J55" s="10"/>
      <c r="K55" s="10"/>
      <c r="L55" s="7"/>
      <c r="M55" s="6"/>
      <c r="N55" s="4"/>
    </row>
    <row r="56" spans="1:14" ht="12.75">
      <c r="A56" s="6"/>
      <c r="B56" s="6"/>
      <c r="C56" s="5"/>
      <c r="D56" s="6"/>
      <c r="E56" s="6"/>
      <c r="F56" s="5"/>
      <c r="G56" s="5"/>
      <c r="H56" s="46"/>
      <c r="I56" s="7"/>
      <c r="J56" s="10"/>
      <c r="K56" s="10"/>
      <c r="L56" s="7"/>
      <c r="M56" s="6"/>
      <c r="N56" s="4"/>
    </row>
    <row r="57" ht="12.75">
      <c r="H57" s="47"/>
    </row>
    <row r="58" ht="12.75">
      <c r="H58" s="47"/>
    </row>
    <row r="59" ht="12.75">
      <c r="H59" s="47"/>
    </row>
    <row r="60" ht="12.75">
      <c r="H60" s="47"/>
    </row>
    <row r="61" ht="12.75">
      <c r="H61" s="47"/>
    </row>
    <row r="62" ht="12.75">
      <c r="H62" s="47"/>
    </row>
    <row r="63" ht="12.75">
      <c r="H63" s="47"/>
    </row>
    <row r="64" ht="12.75">
      <c r="H64" s="47"/>
    </row>
    <row r="65" ht="12.75">
      <c r="H65" s="47"/>
    </row>
    <row r="66" ht="12.75">
      <c r="H66" s="47"/>
    </row>
    <row r="67" ht="12.75">
      <c r="H67" s="47"/>
    </row>
    <row r="68" ht="12.75">
      <c r="H68" s="47"/>
    </row>
    <row r="69" ht="12.75">
      <c r="H69" s="47"/>
    </row>
    <row r="70" ht="12.75">
      <c r="H70" s="47"/>
    </row>
    <row r="71" ht="12.75">
      <c r="H71" s="47"/>
    </row>
    <row r="72" ht="12.75">
      <c r="H72" s="47"/>
    </row>
    <row r="73" ht="12.75">
      <c r="H73" s="47"/>
    </row>
    <row r="74" ht="12.75">
      <c r="H74" s="47"/>
    </row>
    <row r="75" ht="12.75">
      <c r="H75" s="47"/>
    </row>
    <row r="76" ht="12.75">
      <c r="H76" s="47"/>
    </row>
    <row r="77" ht="12.75">
      <c r="H77" s="47"/>
    </row>
    <row r="78" ht="12.75">
      <c r="H78" s="47"/>
    </row>
    <row r="79" ht="12.75">
      <c r="H79" s="47"/>
    </row>
  </sheetData>
  <mergeCells count="15">
    <mergeCell ref="I7:AH7"/>
    <mergeCell ref="E7:E9"/>
    <mergeCell ref="F7:F9"/>
    <mergeCell ref="G7:G9"/>
    <mergeCell ref="H7:H9"/>
    <mergeCell ref="AG37:AH37"/>
    <mergeCell ref="AC37:AF37"/>
    <mergeCell ref="A4:E4"/>
    <mergeCell ref="A40:D40"/>
    <mergeCell ref="A38:D38"/>
    <mergeCell ref="A5:AE5"/>
    <mergeCell ref="A6:AE6"/>
    <mergeCell ref="A7:A9"/>
    <mergeCell ref="B7:B9"/>
    <mergeCell ref="D7:D9"/>
  </mergeCells>
  <printOptions/>
  <pageMargins left="0.21" right="0.2" top="0.24" bottom="0.2" header="0.25" footer="0.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1"/>
  <sheetViews>
    <sheetView tabSelected="1" view="pageBreakPreview" zoomScale="75" zoomScaleNormal="75" zoomScaleSheetLayoutView="75" workbookViewId="0" topLeftCell="A1">
      <pane xSplit="4" ySplit="12" topLeftCell="E1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16" sqref="P16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5.28125" style="0" customWidth="1"/>
    <col min="4" max="4" width="10.7109375" style="0" hidden="1" customWidth="1"/>
    <col min="6" max="6" width="7.7109375" style="0" customWidth="1"/>
    <col min="7" max="7" width="9.140625" style="0" hidden="1" customWidth="1"/>
    <col min="8" max="8" width="10.57421875" style="0" bestFit="1" customWidth="1"/>
    <col min="9" max="9" width="9.140625" style="0" hidden="1" customWidth="1"/>
    <col min="10" max="10" width="7.421875" style="0" customWidth="1"/>
    <col min="11" max="11" width="9.140625" style="0" hidden="1" customWidth="1"/>
    <col min="12" max="12" width="10.57421875" style="0" bestFit="1" customWidth="1"/>
    <col min="13" max="13" width="9.140625" style="0" hidden="1" customWidth="1"/>
    <col min="14" max="14" width="8.00390625" style="0" customWidth="1"/>
    <col min="15" max="15" width="9.00390625" style="0" hidden="1" customWidth="1"/>
    <col min="16" max="16" width="10.140625" style="0" customWidth="1"/>
    <col min="17" max="17" width="9.140625" style="0" hidden="1" customWidth="1"/>
    <col min="18" max="18" width="7.28125" style="0" customWidth="1"/>
    <col min="19" max="19" width="9.140625" style="0" hidden="1" customWidth="1"/>
    <col min="20" max="20" width="10.57421875" style="0" bestFit="1" customWidth="1"/>
    <col min="21" max="21" width="9.140625" style="0" hidden="1" customWidth="1"/>
    <col min="22" max="22" width="6.140625" style="0" customWidth="1"/>
    <col min="23" max="23" width="9.7109375" style="0" hidden="1" customWidth="1"/>
    <col min="24" max="24" width="12.7109375" style="0" customWidth="1"/>
    <col min="25" max="25" width="9.140625" style="0" hidden="1" customWidth="1"/>
    <col min="26" max="26" width="9.57421875" style="0" bestFit="1" customWidth="1"/>
    <col min="27" max="27" width="9.7109375" style="0" hidden="1" customWidth="1"/>
    <col min="28" max="28" width="11.8515625" style="0" customWidth="1"/>
    <col min="29" max="29" width="7.57421875" style="0" hidden="1" customWidth="1"/>
    <col min="30" max="30" width="9.57421875" style="0" bestFit="1" customWidth="1"/>
    <col min="31" max="31" width="11.8515625" style="0" hidden="1" customWidth="1"/>
    <col min="32" max="32" width="11.57421875" style="0" bestFit="1" customWidth="1"/>
    <col min="33" max="33" width="9.140625" style="0" hidden="1" customWidth="1"/>
    <col min="34" max="34" width="9.7109375" style="0" bestFit="1" customWidth="1"/>
    <col min="35" max="35" width="9.00390625" style="0" hidden="1" customWidth="1"/>
    <col min="36" max="36" width="9.57421875" style="0" bestFit="1" customWidth="1"/>
    <col min="37" max="37" width="9.140625" style="0" hidden="1" customWidth="1"/>
    <col min="38" max="38" width="9.57421875" style="0" bestFit="1" customWidth="1"/>
    <col min="39" max="39" width="9.140625" style="0" hidden="1" customWidth="1"/>
    <col min="40" max="40" width="8.57421875" style="0" customWidth="1"/>
    <col min="41" max="41" width="9.140625" style="0" hidden="1" customWidth="1"/>
    <col min="42" max="42" width="9.00390625" style="0" customWidth="1"/>
    <col min="43" max="43" width="9.28125" style="0" hidden="1" customWidth="1"/>
    <col min="44" max="44" width="12.140625" style="0" customWidth="1"/>
    <col min="45" max="45" width="12.7109375" style="0" hidden="1" customWidth="1"/>
    <col min="46" max="46" width="7.140625" style="0" customWidth="1"/>
    <col min="47" max="47" width="9.28125" style="0" hidden="1" customWidth="1"/>
    <col min="48" max="48" width="10.140625" style="0" bestFit="1" customWidth="1"/>
    <col min="49" max="49" width="9.140625" style="0" hidden="1" customWidth="1"/>
    <col min="50" max="50" width="9.57421875" style="0" bestFit="1" customWidth="1"/>
    <col min="51" max="51" width="9.140625" style="0" hidden="1" customWidth="1"/>
    <col min="52" max="52" width="10.57421875" style="0" customWidth="1"/>
    <col min="53" max="53" width="9.140625" style="0" hidden="1" customWidth="1"/>
    <col min="54" max="54" width="6.421875" style="0" customWidth="1"/>
    <col min="55" max="55" width="12.28125" style="0" hidden="1" customWidth="1"/>
    <col min="56" max="56" width="12.57421875" style="0" customWidth="1"/>
    <col min="58" max="58" width="7.57421875" style="0" customWidth="1"/>
    <col min="59" max="59" width="9.140625" style="0" hidden="1" customWidth="1"/>
    <col min="60" max="60" width="11.00390625" style="0" bestFit="1" customWidth="1"/>
    <col min="61" max="61" width="10.57421875" style="0" customWidth="1"/>
    <col min="62" max="62" width="9.7109375" style="0" hidden="1" customWidth="1"/>
    <col min="63" max="63" width="14.28125" style="0" customWidth="1"/>
    <col min="64" max="64" width="13.8515625" style="0" hidden="1" customWidth="1"/>
    <col min="65" max="65" width="16.28125" style="0" hidden="1" customWidth="1"/>
    <col min="67" max="67" width="25.7109375" style="0" customWidth="1"/>
  </cols>
  <sheetData>
    <row r="1" ht="12.75">
      <c r="B1" t="s">
        <v>122</v>
      </c>
    </row>
    <row r="2" spans="1:64" ht="12.75">
      <c r="A2" s="133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73"/>
      <c r="O2" s="133"/>
      <c r="P2" s="133"/>
      <c r="Q2" s="133"/>
      <c r="R2" s="133"/>
      <c r="S2" s="133"/>
      <c r="T2" s="133"/>
      <c r="U2" s="133"/>
      <c r="V2" s="175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64" ht="12.75">
      <c r="A3" s="399" t="s">
        <v>111</v>
      </c>
      <c r="B3" s="399"/>
      <c r="C3" s="36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73"/>
      <c r="O3" s="133"/>
      <c r="P3" s="133"/>
      <c r="Q3" s="133"/>
      <c r="R3" s="133"/>
      <c r="S3" s="133"/>
      <c r="T3" s="133"/>
      <c r="U3" s="133"/>
      <c r="V3" s="175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64" ht="12.75">
      <c r="A4" s="274"/>
      <c r="B4" s="274"/>
      <c r="C4" s="274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6"/>
      <c r="O4" s="275"/>
      <c r="P4" s="275"/>
      <c r="Q4" s="275"/>
      <c r="R4" s="275"/>
      <c r="S4" s="275"/>
      <c r="T4" s="275"/>
      <c r="U4" s="275"/>
      <c r="V4" s="277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</row>
    <row r="5" spans="1:64" ht="12.75">
      <c r="A5" s="274"/>
      <c r="B5" s="274"/>
      <c r="C5" s="274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6"/>
      <c r="O5" s="275"/>
      <c r="P5" s="275"/>
      <c r="Q5" s="275"/>
      <c r="R5" s="275"/>
      <c r="S5" s="275"/>
      <c r="T5" s="275"/>
      <c r="U5" s="275"/>
      <c r="V5" s="277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</row>
    <row r="6" spans="1:64" ht="14.25">
      <c r="A6" s="400" t="s">
        <v>141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</row>
    <row r="7" spans="1:64" ht="14.25">
      <c r="A7" s="400" t="s">
        <v>136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</row>
    <row r="8" spans="1:64" ht="14.2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</row>
    <row r="9" spans="1:64" ht="14.25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</row>
    <row r="10" spans="1:65" ht="12.75">
      <c r="A10" s="401" t="s">
        <v>1</v>
      </c>
      <c r="B10" s="401" t="s">
        <v>2</v>
      </c>
      <c r="C10" s="401" t="s">
        <v>63</v>
      </c>
      <c r="D10" s="401" t="s">
        <v>63</v>
      </c>
      <c r="E10" s="402" t="s">
        <v>7</v>
      </c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4"/>
      <c r="BM10" s="213"/>
    </row>
    <row r="11" spans="1:65" ht="240.75" customHeight="1">
      <c r="A11" s="401"/>
      <c r="B11" s="401"/>
      <c r="C11" s="401"/>
      <c r="D11" s="401"/>
      <c r="E11" s="323" t="s">
        <v>8</v>
      </c>
      <c r="F11" s="335" t="s">
        <v>8</v>
      </c>
      <c r="G11" s="329" t="s">
        <v>72</v>
      </c>
      <c r="H11" s="329" t="s">
        <v>72</v>
      </c>
      <c r="I11" s="336" t="s">
        <v>90</v>
      </c>
      <c r="J11" s="337" t="s">
        <v>90</v>
      </c>
      <c r="K11" s="329" t="s">
        <v>72</v>
      </c>
      <c r="L11" s="329" t="s">
        <v>72</v>
      </c>
      <c r="M11" s="336" t="s">
        <v>11</v>
      </c>
      <c r="N11" s="335" t="s">
        <v>11</v>
      </c>
      <c r="O11" s="329" t="s">
        <v>72</v>
      </c>
      <c r="P11" s="329" t="s">
        <v>72</v>
      </c>
      <c r="Q11" s="336" t="s">
        <v>12</v>
      </c>
      <c r="R11" s="337" t="s">
        <v>12</v>
      </c>
      <c r="S11" s="329" t="s">
        <v>72</v>
      </c>
      <c r="T11" s="329" t="s">
        <v>72</v>
      </c>
      <c r="U11" s="336" t="s">
        <v>13</v>
      </c>
      <c r="V11" s="338" t="s">
        <v>13</v>
      </c>
      <c r="W11" s="339" t="s">
        <v>72</v>
      </c>
      <c r="X11" s="339" t="s">
        <v>72</v>
      </c>
      <c r="Y11" s="335" t="s">
        <v>126</v>
      </c>
      <c r="Z11" s="335" t="s">
        <v>126</v>
      </c>
      <c r="AA11" s="329" t="s">
        <v>72</v>
      </c>
      <c r="AB11" s="329" t="s">
        <v>72</v>
      </c>
      <c r="AC11" s="335" t="s">
        <v>133</v>
      </c>
      <c r="AD11" s="335" t="s">
        <v>133</v>
      </c>
      <c r="AE11" s="262" t="s">
        <v>72</v>
      </c>
      <c r="AF11" s="329" t="s">
        <v>72</v>
      </c>
      <c r="AG11" s="330" t="s">
        <v>92</v>
      </c>
      <c r="AH11" s="330" t="s">
        <v>92</v>
      </c>
      <c r="AI11" s="329" t="s">
        <v>72</v>
      </c>
      <c r="AJ11" s="331" t="s">
        <v>72</v>
      </c>
      <c r="AK11" s="332" t="s">
        <v>121</v>
      </c>
      <c r="AL11" s="330" t="str">
        <f>AK11</f>
        <v>поверка приборов учета АИТП</v>
      </c>
      <c r="AM11" s="329" t="s">
        <v>72</v>
      </c>
      <c r="AN11" s="329" t="s">
        <v>72</v>
      </c>
      <c r="AO11" s="333" t="s">
        <v>93</v>
      </c>
      <c r="AP11" s="330" t="str">
        <f>AO11</f>
        <v>замена и приобретение приборов учета</v>
      </c>
      <c r="AQ11" s="329" t="s">
        <v>72</v>
      </c>
      <c r="AR11" s="329" t="s">
        <v>72</v>
      </c>
      <c r="AS11" s="332" t="s">
        <v>134</v>
      </c>
      <c r="AT11" s="330" t="str">
        <f>AS11</f>
        <v>ремонт инженерных сетей</v>
      </c>
      <c r="AU11" s="329" t="s">
        <v>72</v>
      </c>
      <c r="AV11" s="329" t="s">
        <v>72</v>
      </c>
      <c r="AW11" s="330" t="s">
        <v>131</v>
      </c>
      <c r="AX11" s="330" t="s">
        <v>131</v>
      </c>
      <c r="AY11" s="329" t="s">
        <v>72</v>
      </c>
      <c r="AZ11" s="329" t="s">
        <v>72</v>
      </c>
      <c r="BA11" s="329" t="s">
        <v>116</v>
      </c>
      <c r="BB11" s="329" t="s">
        <v>116</v>
      </c>
      <c r="BC11" s="329" t="s">
        <v>72</v>
      </c>
      <c r="BD11" s="329" t="s">
        <v>72</v>
      </c>
      <c r="BE11" s="329" t="s">
        <v>135</v>
      </c>
      <c r="BF11" s="329" t="s">
        <v>135</v>
      </c>
      <c r="BG11" s="329" t="s">
        <v>115</v>
      </c>
      <c r="BH11" s="329" t="s">
        <v>115</v>
      </c>
      <c r="BI11" s="334" t="s">
        <v>89</v>
      </c>
      <c r="BJ11" s="334" t="s">
        <v>89</v>
      </c>
      <c r="BK11" s="134" t="s">
        <v>72</v>
      </c>
      <c r="BL11" s="134" t="s">
        <v>72</v>
      </c>
      <c r="BM11" s="134" t="s">
        <v>72</v>
      </c>
    </row>
    <row r="12" spans="1:65" ht="83.25">
      <c r="A12" s="401"/>
      <c r="B12" s="401"/>
      <c r="C12" s="401"/>
      <c r="D12" s="401"/>
      <c r="E12" s="172" t="s">
        <v>15</v>
      </c>
      <c r="F12" s="134" t="s">
        <v>15</v>
      </c>
      <c r="G12" s="134" t="s">
        <v>84</v>
      </c>
      <c r="H12" s="134" t="s">
        <v>84</v>
      </c>
      <c r="I12" s="125"/>
      <c r="J12" s="261" t="s">
        <v>15</v>
      </c>
      <c r="K12" s="134" t="s">
        <v>84</v>
      </c>
      <c r="L12" s="134" t="s">
        <v>84</v>
      </c>
      <c r="M12" s="125"/>
      <c r="N12" s="262" t="s">
        <v>15</v>
      </c>
      <c r="O12" s="134" t="s">
        <v>84</v>
      </c>
      <c r="P12" s="134" t="s">
        <v>84</v>
      </c>
      <c r="Q12" s="125"/>
      <c r="R12" s="262" t="s">
        <v>15</v>
      </c>
      <c r="S12" s="134" t="s">
        <v>84</v>
      </c>
      <c r="T12" s="134" t="s">
        <v>84</v>
      </c>
      <c r="U12" s="125"/>
      <c r="V12" s="263" t="s">
        <v>15</v>
      </c>
      <c r="W12" s="134" t="s">
        <v>84</v>
      </c>
      <c r="X12" s="134" t="s">
        <v>84</v>
      </c>
      <c r="Y12" s="125"/>
      <c r="Z12" s="262" t="s">
        <v>15</v>
      </c>
      <c r="AA12" s="134" t="s">
        <v>15</v>
      </c>
      <c r="AB12" s="134" t="s">
        <v>84</v>
      </c>
      <c r="AC12" s="125"/>
      <c r="AD12" s="262" t="s">
        <v>15</v>
      </c>
      <c r="AE12" s="134" t="s">
        <v>15</v>
      </c>
      <c r="AF12" s="134" t="s">
        <v>84</v>
      </c>
      <c r="AG12" s="166" t="s">
        <v>15</v>
      </c>
      <c r="AH12" s="268" t="s">
        <v>15</v>
      </c>
      <c r="AI12" s="164" t="s">
        <v>84</v>
      </c>
      <c r="AJ12" s="177" t="s">
        <v>84</v>
      </c>
      <c r="AK12" s="168" t="s">
        <v>15</v>
      </c>
      <c r="AL12" s="260" t="s">
        <v>15</v>
      </c>
      <c r="AM12" s="164" t="s">
        <v>84</v>
      </c>
      <c r="AN12" s="164" t="s">
        <v>84</v>
      </c>
      <c r="AO12" s="168" t="s">
        <v>15</v>
      </c>
      <c r="AP12" s="260" t="s">
        <v>15</v>
      </c>
      <c r="AQ12" s="164" t="s">
        <v>84</v>
      </c>
      <c r="AR12" s="164" t="s">
        <v>84</v>
      </c>
      <c r="AS12" s="168" t="s">
        <v>15</v>
      </c>
      <c r="AT12" s="260" t="s">
        <v>15</v>
      </c>
      <c r="AU12" s="164" t="s">
        <v>84</v>
      </c>
      <c r="AV12" s="164" t="s">
        <v>84</v>
      </c>
      <c r="AW12" s="260" t="s">
        <v>15</v>
      </c>
      <c r="AX12" s="260" t="s">
        <v>15</v>
      </c>
      <c r="AY12" s="164" t="s">
        <v>84</v>
      </c>
      <c r="AZ12" s="164" t="s">
        <v>84</v>
      </c>
      <c r="BA12" s="260" t="s">
        <v>15</v>
      </c>
      <c r="BB12" s="260" t="s">
        <v>15</v>
      </c>
      <c r="BC12" s="164" t="s">
        <v>84</v>
      </c>
      <c r="BD12" s="164" t="s">
        <v>84</v>
      </c>
      <c r="BE12" s="260" t="s">
        <v>15</v>
      </c>
      <c r="BF12" s="260" t="s">
        <v>15</v>
      </c>
      <c r="BG12" s="164" t="s">
        <v>84</v>
      </c>
      <c r="BH12" s="164" t="s">
        <v>84</v>
      </c>
      <c r="BI12" s="260" t="s">
        <v>15</v>
      </c>
      <c r="BJ12" s="260" t="s">
        <v>15</v>
      </c>
      <c r="BK12" s="177" t="s">
        <v>84</v>
      </c>
      <c r="BL12" s="177" t="s">
        <v>84</v>
      </c>
      <c r="BM12" s="164" t="s">
        <v>84</v>
      </c>
    </row>
    <row r="13" spans="1:67" ht="24.75" customHeight="1">
      <c r="A13" s="205">
        <v>1</v>
      </c>
      <c r="B13" s="127" t="s">
        <v>43</v>
      </c>
      <c r="C13" s="367">
        <v>3316.2</v>
      </c>
      <c r="D13" s="227">
        <v>3487.8</v>
      </c>
      <c r="E13" s="121">
        <f>15000/D13/12</f>
        <v>0.35839210963931417</v>
      </c>
      <c r="F13" s="132">
        <f>ROUND(E13,2)</f>
        <v>0.36</v>
      </c>
      <c r="G13" s="132">
        <f>F13*D13*12</f>
        <v>15067.295999999998</v>
      </c>
      <c r="H13" s="130">
        <f aca="true" t="shared" si="0" ref="H13:H37">ROUND(G13,0)</f>
        <v>15067</v>
      </c>
      <c r="I13" s="232">
        <f>0/D13/12</f>
        <v>0</v>
      </c>
      <c r="J13" s="132">
        <f aca="true" t="shared" si="1" ref="J13:J30">ROUND(I13,2)</f>
        <v>0</v>
      </c>
      <c r="K13" s="130">
        <f aca="true" t="shared" si="2" ref="K13:K36">J13*D13*12</f>
        <v>0</v>
      </c>
      <c r="L13" s="130">
        <f>ROUND(K13,0)</f>
        <v>0</v>
      </c>
      <c r="M13" s="232">
        <f>10000/D13/12</f>
        <v>0.23892807309287611</v>
      </c>
      <c r="N13" s="167">
        <f>ROUND(M13,2)</f>
        <v>0.24</v>
      </c>
      <c r="O13" s="130">
        <f aca="true" t="shared" si="3" ref="O13:O36">N13*D13*12</f>
        <v>10044.864</v>
      </c>
      <c r="P13" s="130">
        <f>ROUND(O13,0)</f>
        <v>10045</v>
      </c>
      <c r="Q13" s="232">
        <f>0/D13/12</f>
        <v>0</v>
      </c>
      <c r="R13" s="132">
        <f>ROUND(Q13,1)</f>
        <v>0</v>
      </c>
      <c r="S13" s="131">
        <f aca="true" t="shared" si="4" ref="S13:S36">R13*D13*12</f>
        <v>0</v>
      </c>
      <c r="T13" s="131">
        <f>ROUND(S13,0)</f>
        <v>0</v>
      </c>
      <c r="U13" s="232">
        <f>75000/D13/12</f>
        <v>1.791960548196571</v>
      </c>
      <c r="V13" s="132">
        <f aca="true" t="shared" si="5" ref="V13:V37">ROUND(U13,2)</f>
        <v>1.79</v>
      </c>
      <c r="W13" s="121">
        <f aca="true" t="shared" si="6" ref="W13:W36">V13*D13*12</f>
        <v>74917.944</v>
      </c>
      <c r="X13" s="132">
        <f>ROUND(W13,0)</f>
        <v>74918</v>
      </c>
      <c r="Y13" s="232">
        <f>75000/D13/12</f>
        <v>1.791960548196571</v>
      </c>
      <c r="Z13" s="130">
        <f aca="true" t="shared" si="7" ref="Z13:Z37">ROUND(Y13,2)</f>
        <v>1.79</v>
      </c>
      <c r="AA13" s="132">
        <f aca="true" t="shared" si="8" ref="AA13:AA36">Z13*D13*12</f>
        <v>74917.944</v>
      </c>
      <c r="AB13" s="132">
        <f>ROUND(AA13,0)</f>
        <v>74918</v>
      </c>
      <c r="AC13" s="232">
        <f>23000/D13/12</f>
        <v>0.5495345681136151</v>
      </c>
      <c r="AD13" s="132">
        <f aca="true" t="shared" si="9" ref="AD13:AD37">ROUND(AC13,2)</f>
        <v>0.55</v>
      </c>
      <c r="AE13" s="132">
        <f>AC13*D13*12</f>
        <v>23000.000000000004</v>
      </c>
      <c r="AF13" s="132">
        <f>ROUND(AE13,0)</f>
        <v>23000</v>
      </c>
      <c r="AG13" s="167">
        <f>15000/D13/12</f>
        <v>0.35839210963931417</v>
      </c>
      <c r="AH13" s="132">
        <f>ROUND(AG13,2)</f>
        <v>0.36</v>
      </c>
      <c r="AI13" s="130">
        <f aca="true" t="shared" si="10" ref="AI13:AI36">AH13*D13*12</f>
        <v>15067.295999999998</v>
      </c>
      <c r="AJ13" s="178">
        <f>ROUND(AI13,0)</f>
        <v>15067</v>
      </c>
      <c r="AK13" s="287">
        <f aca="true" t="shared" si="11" ref="AK13:AK22">0/D13/12</f>
        <v>0</v>
      </c>
      <c r="AL13" s="288">
        <f>ROUND(AK13,2)</f>
        <v>0</v>
      </c>
      <c r="AM13" s="289">
        <f>AL13*D13*12</f>
        <v>0</v>
      </c>
      <c r="AN13" s="289">
        <f>ROUND(AM13,0)</f>
        <v>0</v>
      </c>
      <c r="AO13" s="289">
        <f>15000/D13/12</f>
        <v>0.35839210963931417</v>
      </c>
      <c r="AP13" s="288">
        <f>ROUND(AO13,2)</f>
        <v>0.36</v>
      </c>
      <c r="AQ13" s="289">
        <f>AP13*D13*12</f>
        <v>15067.295999999998</v>
      </c>
      <c r="AR13" s="289">
        <f>ROUND(AQ13,0)</f>
        <v>15067</v>
      </c>
      <c r="AS13" s="218">
        <f>12000/D13/12</f>
        <v>0.28671368771145134</v>
      </c>
      <c r="AT13" s="167">
        <f>ROUND(AS13,2)</f>
        <v>0.29</v>
      </c>
      <c r="AU13" s="218">
        <f>AT13*D13*12</f>
        <v>12137.544</v>
      </c>
      <c r="AV13" s="218">
        <f>ROUND(AU13,0)</f>
        <v>12138</v>
      </c>
      <c r="AW13" s="218">
        <f>20000/D13/12</f>
        <v>0.47785614618575223</v>
      </c>
      <c r="AX13" s="167">
        <f>ROUND(AW13,2)</f>
        <v>0.48</v>
      </c>
      <c r="AY13" s="218">
        <f aca="true" t="shared" si="12" ref="AY13:AY21">AX13*D13*12</f>
        <v>20089.728</v>
      </c>
      <c r="AZ13" s="218">
        <f aca="true" t="shared" si="13" ref="AZ13:AZ37">ROUND(AY13,0)</f>
        <v>20090</v>
      </c>
      <c r="BA13" s="218">
        <f aca="true" t="shared" si="14" ref="BA13:BA20">0/D13/12</f>
        <v>0</v>
      </c>
      <c r="BB13" s="218">
        <f>ROUND(BA13,2)</f>
        <v>0</v>
      </c>
      <c r="BC13" s="218">
        <f>BB13*D13*12</f>
        <v>0</v>
      </c>
      <c r="BD13" s="218">
        <f>ROUND(BC13,0)</f>
        <v>0</v>
      </c>
      <c r="BE13" s="218">
        <f>0/D13/12</f>
        <v>0</v>
      </c>
      <c r="BF13" s="218">
        <f>ROUND(BE13,2)</f>
        <v>0</v>
      </c>
      <c r="BG13" s="218">
        <f>BE13*D13*12</f>
        <v>0</v>
      </c>
      <c r="BH13" s="218">
        <f>ROUND(BG13,0)</f>
        <v>0</v>
      </c>
      <c r="BI13" s="218">
        <v>6.22</v>
      </c>
      <c r="BJ13" s="328">
        <f>F13+J13+N13+R13+V13+Z13+AD13+AH13+AL13+AP13+AT13+AX13+BB13+BF13</f>
        <v>6.220000000000001</v>
      </c>
      <c r="BK13" s="370">
        <f>BI13*C13*12</f>
        <v>247521.168</v>
      </c>
      <c r="BL13" s="326">
        <f>H13+L13+P13+T13+X13+AB13+AF13+AJ13+AN13+AR13+AV13+AZ13+BD13+BH13</f>
        <v>260310</v>
      </c>
      <c r="BM13" s="281">
        <f>ROUND(BL13,0)</f>
        <v>260310</v>
      </c>
      <c r="BO13" s="211"/>
    </row>
    <row r="14" spans="1:67" ht="24.75" customHeight="1">
      <c r="A14" s="205">
        <v>2</v>
      </c>
      <c r="B14" s="126" t="s">
        <v>44</v>
      </c>
      <c r="C14" s="368">
        <v>3344.3</v>
      </c>
      <c r="D14" s="132">
        <v>3518.6</v>
      </c>
      <c r="E14" s="121">
        <f>20000/D14/12</f>
        <v>0.47367324125125526</v>
      </c>
      <c r="F14" s="132">
        <f aca="true" t="shared" si="15" ref="F14:F37">ROUND(E14,2)</f>
        <v>0.47</v>
      </c>
      <c r="G14" s="132">
        <f aca="true" t="shared" si="16" ref="G14:G36">F14*D14*12</f>
        <v>19844.904</v>
      </c>
      <c r="H14" s="130">
        <f t="shared" si="0"/>
        <v>19845</v>
      </c>
      <c r="I14" s="232">
        <f>0/D14/12</f>
        <v>0</v>
      </c>
      <c r="J14" s="132">
        <f t="shared" si="1"/>
        <v>0</v>
      </c>
      <c r="K14" s="130">
        <f t="shared" si="2"/>
        <v>0</v>
      </c>
      <c r="L14" s="130">
        <f aca="true" t="shared" si="17" ref="L14:L37">ROUND(K14,0)</f>
        <v>0</v>
      </c>
      <c r="M14" s="232">
        <f>10000/D14/12</f>
        <v>0.23683662062562763</v>
      </c>
      <c r="N14" s="167">
        <f>ROUND(M14,2)</f>
        <v>0.24</v>
      </c>
      <c r="O14" s="130">
        <f t="shared" si="3"/>
        <v>10133.568</v>
      </c>
      <c r="P14" s="130">
        <f aca="true" t="shared" si="18" ref="P14:P37">ROUND(O14,0)</f>
        <v>10134</v>
      </c>
      <c r="Q14" s="232">
        <f aca="true" t="shared" si="19" ref="Q14:Q36">0/D14/12</f>
        <v>0</v>
      </c>
      <c r="R14" s="132">
        <f>ROUND(Q14,1)</f>
        <v>0</v>
      </c>
      <c r="S14" s="131">
        <f t="shared" si="4"/>
        <v>0</v>
      </c>
      <c r="T14" s="131">
        <f aca="true" t="shared" si="20" ref="T14:T37">ROUND(S14,0)</f>
        <v>0</v>
      </c>
      <c r="U14" s="232">
        <f>78000/D14/12</f>
        <v>1.8473256408798955</v>
      </c>
      <c r="V14" s="132">
        <f t="shared" si="5"/>
        <v>1.85</v>
      </c>
      <c r="W14" s="121">
        <f t="shared" si="6"/>
        <v>78112.92</v>
      </c>
      <c r="X14" s="132">
        <f aca="true" t="shared" si="21" ref="X14:X37">ROUND(W14,0)</f>
        <v>78113</v>
      </c>
      <c r="Y14" s="232">
        <f>75000/D14/12</f>
        <v>1.7762746546922072</v>
      </c>
      <c r="Z14" s="132">
        <f t="shared" si="7"/>
        <v>1.78</v>
      </c>
      <c r="AA14" s="132">
        <f t="shared" si="8"/>
        <v>75157.296</v>
      </c>
      <c r="AB14" s="132">
        <f aca="true" t="shared" si="22" ref="AB14:AB37">ROUND(AA14,0)</f>
        <v>75157</v>
      </c>
      <c r="AC14" s="232">
        <f>51000/D14/12</f>
        <v>1.207866765190701</v>
      </c>
      <c r="AD14" s="132">
        <f t="shared" si="9"/>
        <v>1.21</v>
      </c>
      <c r="AE14" s="132">
        <f>AC14*D14*12</f>
        <v>51000</v>
      </c>
      <c r="AF14" s="132">
        <f aca="true" t="shared" si="23" ref="AF14:AF34">ROUND(AE14,0)</f>
        <v>51000</v>
      </c>
      <c r="AG14" s="167">
        <f>0/D14/12</f>
        <v>0</v>
      </c>
      <c r="AH14" s="132">
        <f aca="true" t="shared" si="24" ref="AH14:AH37">ROUND(AG14,2)</f>
        <v>0</v>
      </c>
      <c r="AI14" s="130">
        <f t="shared" si="10"/>
        <v>0</v>
      </c>
      <c r="AJ14" s="178">
        <f aca="true" t="shared" si="25" ref="AJ14:AJ37">ROUND(AI14,0)</f>
        <v>0</v>
      </c>
      <c r="AK14" s="287">
        <f t="shared" si="11"/>
        <v>0</v>
      </c>
      <c r="AL14" s="288">
        <f aca="true" t="shared" si="26" ref="AL14:AL37">ROUND(AK14,2)</f>
        <v>0</v>
      </c>
      <c r="AM14" s="289">
        <f aca="true" t="shared" si="27" ref="AM14:AM36">AL14*D14*12</f>
        <v>0</v>
      </c>
      <c r="AN14" s="289">
        <f aca="true" t="shared" si="28" ref="AN14:AN37">ROUND(AM14,0)</f>
        <v>0</v>
      </c>
      <c r="AO14" s="289">
        <f aca="true" t="shared" si="29" ref="AO14:AO36">15000/D14/12</f>
        <v>0.3552549309384414</v>
      </c>
      <c r="AP14" s="288">
        <f aca="true" t="shared" si="30" ref="AP14:AP37">ROUND(AO14,2)</f>
        <v>0.36</v>
      </c>
      <c r="AQ14" s="289">
        <f aca="true" t="shared" si="31" ref="AQ14:AQ36">AP14*D14*12</f>
        <v>15200.351999999999</v>
      </c>
      <c r="AR14" s="289">
        <f aca="true" t="shared" si="32" ref="AR14:AR37">ROUND(AQ14,0)</f>
        <v>15200</v>
      </c>
      <c r="AS14" s="218">
        <f>12000/D14/12</f>
        <v>0.2842039447507531</v>
      </c>
      <c r="AT14" s="167">
        <f aca="true" t="shared" si="33" ref="AT14:AT37">ROUND(AS14,2)</f>
        <v>0.28</v>
      </c>
      <c r="AU14" s="218">
        <f>AT14*D14*12</f>
        <v>11822.496000000001</v>
      </c>
      <c r="AV14" s="218">
        <f aca="true" t="shared" si="34" ref="AV14:AV37">ROUND(AU14,0)</f>
        <v>11822</v>
      </c>
      <c r="AW14" s="218">
        <f>8000/D14/12</f>
        <v>0.18946929650050212</v>
      </c>
      <c r="AX14" s="167">
        <f aca="true" t="shared" si="35" ref="AX14:AX37">ROUND(AW14,2)</f>
        <v>0.19</v>
      </c>
      <c r="AY14" s="218">
        <f t="shared" si="12"/>
        <v>8022.407999999999</v>
      </c>
      <c r="AZ14" s="218">
        <f t="shared" si="13"/>
        <v>8022</v>
      </c>
      <c r="BA14" s="218">
        <f t="shared" si="14"/>
        <v>0</v>
      </c>
      <c r="BB14" s="218">
        <f aca="true" t="shared" si="36" ref="BB14:BB37">ROUND(BA14,2)</f>
        <v>0</v>
      </c>
      <c r="BC14" s="218">
        <f aca="true" t="shared" si="37" ref="BC14:BC36">BB14*D14*12</f>
        <v>0</v>
      </c>
      <c r="BD14" s="218">
        <f aca="true" t="shared" si="38" ref="BD14:BD37">ROUND(BC14,0)</f>
        <v>0</v>
      </c>
      <c r="BE14" s="218">
        <f>0/D14/12</f>
        <v>0</v>
      </c>
      <c r="BF14" s="218">
        <f aca="true" t="shared" si="39" ref="BF14:BF37">ROUND(BE14,2)</f>
        <v>0</v>
      </c>
      <c r="BG14" s="218">
        <f aca="true" t="shared" si="40" ref="BG14:BG36">BE14*D14*12</f>
        <v>0</v>
      </c>
      <c r="BH14" s="218">
        <f aca="true" t="shared" si="41" ref="BH14:BH37">ROUND(BG14,0)</f>
        <v>0</v>
      </c>
      <c r="BI14" s="218">
        <v>6.38</v>
      </c>
      <c r="BJ14" s="328">
        <f aca="true" t="shared" si="42" ref="BJ14:BJ36">F14+J14+N14+R14+V14+Z14+AD14+AH14+AL14+AP14+AT14+AX14+BB14+BF14</f>
        <v>6.380000000000001</v>
      </c>
      <c r="BK14" s="370">
        <f aca="true" t="shared" si="43" ref="BK14:BK37">BI14*C14*12</f>
        <v>256039.608</v>
      </c>
      <c r="BL14" s="326">
        <f aca="true" t="shared" si="44" ref="BL14:BL36">H14+L14+P14+T14+X14+AB14+AF14+AJ14+AN14+AR14+AV14+AZ14+BD14+BH14</f>
        <v>269293</v>
      </c>
      <c r="BM14" s="281">
        <f aca="true" t="shared" si="45" ref="BM14:BM36">ROUND(BL14,0)</f>
        <v>269293</v>
      </c>
      <c r="BO14" s="211"/>
    </row>
    <row r="15" spans="1:67" ht="24.75" customHeight="1">
      <c r="A15" s="205">
        <v>3</v>
      </c>
      <c r="B15" s="126" t="s">
        <v>45</v>
      </c>
      <c r="C15" s="368">
        <v>1731</v>
      </c>
      <c r="D15" s="132">
        <v>1823</v>
      </c>
      <c r="E15" s="121">
        <f>15000/D15/12</f>
        <v>0.6856829402084476</v>
      </c>
      <c r="F15" s="132">
        <f t="shared" si="15"/>
        <v>0.69</v>
      </c>
      <c r="G15" s="132">
        <f t="shared" si="16"/>
        <v>15094.439999999999</v>
      </c>
      <c r="H15" s="130">
        <f t="shared" si="0"/>
        <v>15094</v>
      </c>
      <c r="I15" s="232">
        <f>0/D15/12</f>
        <v>0</v>
      </c>
      <c r="J15" s="132">
        <f t="shared" si="1"/>
        <v>0</v>
      </c>
      <c r="K15" s="130">
        <f t="shared" si="2"/>
        <v>0</v>
      </c>
      <c r="L15" s="130">
        <f t="shared" si="17"/>
        <v>0</v>
      </c>
      <c r="M15" s="232">
        <f>0/D15/12</f>
        <v>0</v>
      </c>
      <c r="N15" s="167">
        <f aca="true" t="shared" si="46" ref="N15:N37">ROUND(M15,2)</f>
        <v>0</v>
      </c>
      <c r="O15" s="130">
        <f t="shared" si="3"/>
        <v>0</v>
      </c>
      <c r="P15" s="130">
        <f t="shared" si="18"/>
        <v>0</v>
      </c>
      <c r="Q15" s="232">
        <f t="shared" si="19"/>
        <v>0</v>
      </c>
      <c r="R15" s="132">
        <f>ROUND(Q15,1)</f>
        <v>0</v>
      </c>
      <c r="S15" s="131">
        <f t="shared" si="4"/>
        <v>0</v>
      </c>
      <c r="T15" s="131">
        <f t="shared" si="20"/>
        <v>0</v>
      </c>
      <c r="U15" s="232">
        <f>0/D15/12</f>
        <v>0</v>
      </c>
      <c r="V15" s="132">
        <f t="shared" si="5"/>
        <v>0</v>
      </c>
      <c r="W15" s="121">
        <f t="shared" si="6"/>
        <v>0</v>
      </c>
      <c r="X15" s="132">
        <f t="shared" si="21"/>
        <v>0</v>
      </c>
      <c r="Y15" s="232">
        <f>74000/D15/12</f>
        <v>3.3827025050283415</v>
      </c>
      <c r="Z15" s="132">
        <f t="shared" si="7"/>
        <v>3.38</v>
      </c>
      <c r="AA15" s="132">
        <f t="shared" si="8"/>
        <v>73940.88</v>
      </c>
      <c r="AB15" s="132">
        <f t="shared" si="22"/>
        <v>73941</v>
      </c>
      <c r="AC15" s="232">
        <f>27000/D15/12</f>
        <v>1.2342292923752056</v>
      </c>
      <c r="AD15" s="132">
        <f t="shared" si="9"/>
        <v>1.23</v>
      </c>
      <c r="AE15" s="132">
        <f>AC15*D15*12</f>
        <v>27000</v>
      </c>
      <c r="AF15" s="132">
        <f t="shared" si="23"/>
        <v>27000</v>
      </c>
      <c r="AG15" s="167">
        <f>0/D15/12</f>
        <v>0</v>
      </c>
      <c r="AH15" s="132">
        <f t="shared" si="24"/>
        <v>0</v>
      </c>
      <c r="AI15" s="130">
        <f t="shared" si="10"/>
        <v>0</v>
      </c>
      <c r="AJ15" s="178">
        <f t="shared" si="25"/>
        <v>0</v>
      </c>
      <c r="AK15" s="287">
        <f t="shared" si="11"/>
        <v>0</v>
      </c>
      <c r="AL15" s="288">
        <f t="shared" si="26"/>
        <v>0</v>
      </c>
      <c r="AM15" s="289">
        <f t="shared" si="27"/>
        <v>0</v>
      </c>
      <c r="AN15" s="289">
        <f t="shared" si="28"/>
        <v>0</v>
      </c>
      <c r="AO15" s="289">
        <f t="shared" si="29"/>
        <v>0.6856829402084476</v>
      </c>
      <c r="AP15" s="288">
        <f t="shared" si="30"/>
        <v>0.69</v>
      </c>
      <c r="AQ15" s="289">
        <f>AP15*D15*12</f>
        <v>15094.439999999999</v>
      </c>
      <c r="AR15" s="289">
        <f t="shared" si="32"/>
        <v>15094</v>
      </c>
      <c r="AS15" s="218">
        <f>6000/D15/12</f>
        <v>0.27427317608337903</v>
      </c>
      <c r="AT15" s="167">
        <f t="shared" si="33"/>
        <v>0.27</v>
      </c>
      <c r="AU15" s="218">
        <f>AT15*D15*12</f>
        <v>5906.52</v>
      </c>
      <c r="AV15" s="218">
        <f t="shared" si="34"/>
        <v>5907</v>
      </c>
      <c r="AW15" s="218">
        <f>15000/D15/12</f>
        <v>0.6856829402084476</v>
      </c>
      <c r="AX15" s="167">
        <f t="shared" si="35"/>
        <v>0.69</v>
      </c>
      <c r="AY15" s="218">
        <f t="shared" si="12"/>
        <v>15094.439999999999</v>
      </c>
      <c r="AZ15" s="218">
        <f t="shared" si="13"/>
        <v>15094</v>
      </c>
      <c r="BA15" s="218">
        <f t="shared" si="14"/>
        <v>0</v>
      </c>
      <c r="BB15" s="218">
        <f t="shared" si="36"/>
        <v>0</v>
      </c>
      <c r="BC15" s="218">
        <f t="shared" si="37"/>
        <v>0</v>
      </c>
      <c r="BD15" s="218">
        <f t="shared" si="38"/>
        <v>0</v>
      </c>
      <c r="BE15" s="218">
        <f>0/D15/12</f>
        <v>0</v>
      </c>
      <c r="BF15" s="218">
        <f t="shared" si="39"/>
        <v>0</v>
      </c>
      <c r="BG15" s="218">
        <f t="shared" si="40"/>
        <v>0</v>
      </c>
      <c r="BH15" s="218">
        <f t="shared" si="41"/>
        <v>0</v>
      </c>
      <c r="BI15" s="218">
        <v>6.95</v>
      </c>
      <c r="BJ15" s="328">
        <f t="shared" si="42"/>
        <v>6.949999999999999</v>
      </c>
      <c r="BK15" s="370">
        <f t="shared" si="43"/>
        <v>144365.40000000002</v>
      </c>
      <c r="BL15" s="326">
        <f t="shared" si="44"/>
        <v>152130</v>
      </c>
      <c r="BM15" s="281">
        <f t="shared" si="45"/>
        <v>152130</v>
      </c>
      <c r="BO15" s="211"/>
    </row>
    <row r="16" spans="1:67" ht="24.75" customHeight="1">
      <c r="A16" s="205">
        <v>4</v>
      </c>
      <c r="B16" s="126" t="s">
        <v>46</v>
      </c>
      <c r="C16" s="368">
        <v>3548.18</v>
      </c>
      <c r="D16" s="132">
        <v>3548.18</v>
      </c>
      <c r="E16" s="121">
        <f>25000/D16/12</f>
        <v>0.5871554806501738</v>
      </c>
      <c r="F16" s="132">
        <f t="shared" si="15"/>
        <v>0.59</v>
      </c>
      <c r="G16" s="132">
        <f t="shared" si="16"/>
        <v>25121.1144</v>
      </c>
      <c r="H16" s="130">
        <f t="shared" si="0"/>
        <v>25121</v>
      </c>
      <c r="I16" s="232">
        <f>25000/D16/12</f>
        <v>0.5871554806501738</v>
      </c>
      <c r="J16" s="132">
        <f t="shared" si="1"/>
        <v>0.59</v>
      </c>
      <c r="K16" s="130">
        <f t="shared" si="2"/>
        <v>25121.1144</v>
      </c>
      <c r="L16" s="130">
        <f t="shared" si="17"/>
        <v>25121</v>
      </c>
      <c r="M16" s="232">
        <f>10000/D16/12</f>
        <v>0.23486219226006952</v>
      </c>
      <c r="N16" s="167">
        <f t="shared" si="46"/>
        <v>0.23</v>
      </c>
      <c r="O16" s="130">
        <f t="shared" si="3"/>
        <v>9792.9768</v>
      </c>
      <c r="P16" s="130">
        <f t="shared" si="18"/>
        <v>9793</v>
      </c>
      <c r="Q16" s="232">
        <f t="shared" si="19"/>
        <v>0</v>
      </c>
      <c r="R16" s="132">
        <f aca="true" t="shared" si="47" ref="R16:R37">ROUND(Q16,2)</f>
        <v>0</v>
      </c>
      <c r="S16" s="131">
        <f t="shared" si="4"/>
        <v>0</v>
      </c>
      <c r="T16" s="131">
        <f t="shared" si="20"/>
        <v>0</v>
      </c>
      <c r="U16" s="232">
        <f>78000/D16/12</f>
        <v>1.831925099628542</v>
      </c>
      <c r="V16" s="132">
        <f t="shared" si="5"/>
        <v>1.83</v>
      </c>
      <c r="W16" s="121">
        <f t="shared" si="6"/>
        <v>77918.0328</v>
      </c>
      <c r="X16" s="132">
        <f t="shared" si="21"/>
        <v>77918</v>
      </c>
      <c r="Y16" s="232">
        <f>75000/D16/12</f>
        <v>1.7614664419505213</v>
      </c>
      <c r="Z16" s="132">
        <f t="shared" si="7"/>
        <v>1.76</v>
      </c>
      <c r="AA16" s="132">
        <f t="shared" si="8"/>
        <v>74937.5616</v>
      </c>
      <c r="AB16" s="132">
        <f t="shared" si="22"/>
        <v>74938</v>
      </c>
      <c r="AC16" s="232">
        <f aca="true" t="shared" si="48" ref="AC16:AC31">0/H16/12</f>
        <v>0</v>
      </c>
      <c r="AD16" s="132">
        <f t="shared" si="9"/>
        <v>0</v>
      </c>
      <c r="AE16" s="132">
        <f aca="true" t="shared" si="49" ref="AE16:AE36">AD16*H16*12</f>
        <v>0</v>
      </c>
      <c r="AF16" s="132">
        <f t="shared" si="23"/>
        <v>0</v>
      </c>
      <c r="AG16" s="167">
        <f>0/D16/12</f>
        <v>0</v>
      </c>
      <c r="AH16" s="132">
        <f t="shared" si="24"/>
        <v>0</v>
      </c>
      <c r="AI16" s="130">
        <f t="shared" si="10"/>
        <v>0</v>
      </c>
      <c r="AJ16" s="178">
        <f t="shared" si="25"/>
        <v>0</v>
      </c>
      <c r="AK16" s="287">
        <f t="shared" si="11"/>
        <v>0</v>
      </c>
      <c r="AL16" s="288">
        <f t="shared" si="26"/>
        <v>0</v>
      </c>
      <c r="AM16" s="289">
        <f t="shared" si="27"/>
        <v>0</v>
      </c>
      <c r="AN16" s="289">
        <f t="shared" si="28"/>
        <v>0</v>
      </c>
      <c r="AO16" s="289">
        <f t="shared" si="29"/>
        <v>0.3522932883901042</v>
      </c>
      <c r="AP16" s="288">
        <f t="shared" si="30"/>
        <v>0.35</v>
      </c>
      <c r="AQ16" s="289">
        <f t="shared" si="31"/>
        <v>14902.355999999998</v>
      </c>
      <c r="AR16" s="289">
        <f t="shared" si="32"/>
        <v>14902</v>
      </c>
      <c r="AS16" s="218">
        <f>12000/D16/12</f>
        <v>0.2818346307120834</v>
      </c>
      <c r="AT16" s="167">
        <f t="shared" si="33"/>
        <v>0.28</v>
      </c>
      <c r="AU16" s="218">
        <f aca="true" t="shared" si="50" ref="AU16:AU36">AT16*D16*12</f>
        <v>11921.8848</v>
      </c>
      <c r="AV16" s="218">
        <f t="shared" si="34"/>
        <v>11922</v>
      </c>
      <c r="AW16" s="218">
        <f>25000/D16/12</f>
        <v>0.5871554806501738</v>
      </c>
      <c r="AX16" s="167">
        <f t="shared" si="35"/>
        <v>0.59</v>
      </c>
      <c r="AY16" s="218">
        <f t="shared" si="12"/>
        <v>25121.1144</v>
      </c>
      <c r="AZ16" s="218">
        <f t="shared" si="13"/>
        <v>25121</v>
      </c>
      <c r="BA16" s="218">
        <f t="shared" si="14"/>
        <v>0</v>
      </c>
      <c r="BB16" s="218">
        <f t="shared" si="36"/>
        <v>0</v>
      </c>
      <c r="BC16" s="218">
        <f t="shared" si="37"/>
        <v>0</v>
      </c>
      <c r="BD16" s="218">
        <f t="shared" si="38"/>
        <v>0</v>
      </c>
      <c r="BE16" s="218">
        <f>6000/D16/12</f>
        <v>0.1409173153560417</v>
      </c>
      <c r="BF16" s="218">
        <f t="shared" si="39"/>
        <v>0.14</v>
      </c>
      <c r="BG16" s="218">
        <f t="shared" si="40"/>
        <v>6000.000000000001</v>
      </c>
      <c r="BH16" s="218">
        <f t="shared" si="41"/>
        <v>6000</v>
      </c>
      <c r="BI16" s="218">
        <v>6.36</v>
      </c>
      <c r="BJ16" s="328">
        <f t="shared" si="42"/>
        <v>6.359999999999999</v>
      </c>
      <c r="BK16" s="370">
        <f t="shared" si="43"/>
        <v>270797.0976</v>
      </c>
      <c r="BL16" s="326">
        <f t="shared" si="44"/>
        <v>270836</v>
      </c>
      <c r="BM16" s="281">
        <f t="shared" si="45"/>
        <v>270836</v>
      </c>
      <c r="BO16" s="211"/>
    </row>
    <row r="17" spans="1:67" ht="24.75" customHeight="1">
      <c r="A17" s="205">
        <v>5</v>
      </c>
      <c r="B17" s="126" t="s">
        <v>47</v>
      </c>
      <c r="C17" s="368">
        <v>1698.96</v>
      </c>
      <c r="D17" s="132">
        <v>1698.96</v>
      </c>
      <c r="E17" s="121">
        <f>25000/D17/12</f>
        <v>1.2262403666556796</v>
      </c>
      <c r="F17" s="132">
        <f t="shared" si="15"/>
        <v>1.23</v>
      </c>
      <c r="G17" s="132">
        <f t="shared" si="16"/>
        <v>25076.6496</v>
      </c>
      <c r="H17" s="130">
        <f t="shared" si="0"/>
        <v>25077</v>
      </c>
      <c r="I17" s="232">
        <f>0/D17/12</f>
        <v>0</v>
      </c>
      <c r="J17" s="132">
        <f t="shared" si="1"/>
        <v>0</v>
      </c>
      <c r="K17" s="130">
        <f t="shared" si="2"/>
        <v>0</v>
      </c>
      <c r="L17" s="130">
        <f t="shared" si="17"/>
        <v>0</v>
      </c>
      <c r="M17" s="232">
        <f>0/D17/12</f>
        <v>0</v>
      </c>
      <c r="N17" s="167">
        <f t="shared" si="46"/>
        <v>0</v>
      </c>
      <c r="O17" s="130">
        <f t="shared" si="3"/>
        <v>0</v>
      </c>
      <c r="P17" s="130">
        <f t="shared" si="18"/>
        <v>0</v>
      </c>
      <c r="Q17" s="232">
        <f>45000/D17/12</f>
        <v>2.207232659980223</v>
      </c>
      <c r="R17" s="132">
        <f t="shared" si="47"/>
        <v>2.21</v>
      </c>
      <c r="S17" s="131">
        <f t="shared" si="4"/>
        <v>45056.4192</v>
      </c>
      <c r="T17" s="131">
        <f t="shared" si="20"/>
        <v>45056</v>
      </c>
      <c r="U17" s="232">
        <f>0/D17/12</f>
        <v>0</v>
      </c>
      <c r="V17" s="132">
        <f t="shared" si="5"/>
        <v>0</v>
      </c>
      <c r="W17" s="121">
        <f t="shared" si="6"/>
        <v>0</v>
      </c>
      <c r="X17" s="132">
        <f t="shared" si="21"/>
        <v>0</v>
      </c>
      <c r="Y17" s="232">
        <f>0/D17/12</f>
        <v>0</v>
      </c>
      <c r="Z17" s="132">
        <f t="shared" si="7"/>
        <v>0</v>
      </c>
      <c r="AA17" s="132">
        <f t="shared" si="8"/>
        <v>0</v>
      </c>
      <c r="AB17" s="132">
        <f t="shared" si="22"/>
        <v>0</v>
      </c>
      <c r="AC17" s="232">
        <f>22000/D17/12</f>
        <v>1.079091522656998</v>
      </c>
      <c r="AD17" s="132">
        <f t="shared" si="9"/>
        <v>1.08</v>
      </c>
      <c r="AE17" s="132">
        <f>AC17*D17*12</f>
        <v>22000</v>
      </c>
      <c r="AF17" s="132">
        <f t="shared" si="23"/>
        <v>22000</v>
      </c>
      <c r="AG17" s="167">
        <f>0/D17/12</f>
        <v>0</v>
      </c>
      <c r="AH17" s="132">
        <f t="shared" si="24"/>
        <v>0</v>
      </c>
      <c r="AI17" s="130">
        <f t="shared" si="10"/>
        <v>0</v>
      </c>
      <c r="AJ17" s="178">
        <f t="shared" si="25"/>
        <v>0</v>
      </c>
      <c r="AK17" s="287">
        <f t="shared" si="11"/>
        <v>0</v>
      </c>
      <c r="AL17" s="288">
        <f t="shared" si="26"/>
        <v>0</v>
      </c>
      <c r="AM17" s="289">
        <f t="shared" si="27"/>
        <v>0</v>
      </c>
      <c r="AN17" s="289">
        <f t="shared" si="28"/>
        <v>0</v>
      </c>
      <c r="AO17" s="289">
        <f>10000/D17/12</f>
        <v>0.49049614666227176</v>
      </c>
      <c r="AP17" s="288">
        <f t="shared" si="30"/>
        <v>0.49</v>
      </c>
      <c r="AQ17" s="289">
        <f t="shared" si="31"/>
        <v>9989.8848</v>
      </c>
      <c r="AR17" s="289">
        <f t="shared" si="32"/>
        <v>9990</v>
      </c>
      <c r="AS17" s="218">
        <f aca="true" t="shared" si="51" ref="AS17:AS24">0/D17/12</f>
        <v>0</v>
      </c>
      <c r="AT17" s="167">
        <f t="shared" si="33"/>
        <v>0</v>
      </c>
      <c r="AU17" s="218">
        <f t="shared" si="50"/>
        <v>0</v>
      </c>
      <c r="AV17" s="218">
        <f t="shared" si="34"/>
        <v>0</v>
      </c>
      <c r="AW17" s="340">
        <f>35000/D17/12</f>
        <v>1.7167365133179515</v>
      </c>
      <c r="AX17" s="167">
        <f t="shared" si="35"/>
        <v>1.72</v>
      </c>
      <c r="AY17" s="218">
        <f>AW17*D17*12</f>
        <v>35000</v>
      </c>
      <c r="AZ17" s="218">
        <f t="shared" si="13"/>
        <v>35000</v>
      </c>
      <c r="BA17" s="218">
        <f t="shared" si="14"/>
        <v>0</v>
      </c>
      <c r="BB17" s="218">
        <f t="shared" si="36"/>
        <v>0</v>
      </c>
      <c r="BC17" s="218">
        <f t="shared" si="37"/>
        <v>0</v>
      </c>
      <c r="BD17" s="218">
        <f t="shared" si="38"/>
        <v>0</v>
      </c>
      <c r="BE17" s="218">
        <f>0/D17/12</f>
        <v>0</v>
      </c>
      <c r="BF17" s="218">
        <f t="shared" si="39"/>
        <v>0</v>
      </c>
      <c r="BG17" s="218">
        <f t="shared" si="40"/>
        <v>0</v>
      </c>
      <c r="BH17" s="218">
        <f t="shared" si="41"/>
        <v>0</v>
      </c>
      <c r="BI17" s="218">
        <v>6.73</v>
      </c>
      <c r="BJ17" s="328">
        <f t="shared" si="42"/>
        <v>6.7299999999999995</v>
      </c>
      <c r="BK17" s="370">
        <f t="shared" si="43"/>
        <v>137208.00960000002</v>
      </c>
      <c r="BL17" s="326">
        <f t="shared" si="44"/>
        <v>137123</v>
      </c>
      <c r="BM17" s="281">
        <f t="shared" si="45"/>
        <v>137123</v>
      </c>
      <c r="BO17" s="211"/>
    </row>
    <row r="18" spans="1:67" ht="24.75" customHeight="1">
      <c r="A18" s="205">
        <v>6</v>
      </c>
      <c r="B18" s="126" t="s">
        <v>48</v>
      </c>
      <c r="C18" s="368">
        <v>1729.8</v>
      </c>
      <c r="D18" s="132">
        <v>1893.5</v>
      </c>
      <c r="E18" s="121">
        <f>0/D18/12</f>
        <v>0</v>
      </c>
      <c r="F18" s="132">
        <f t="shared" si="15"/>
        <v>0</v>
      </c>
      <c r="G18" s="132">
        <f t="shared" si="16"/>
        <v>0</v>
      </c>
      <c r="H18" s="130">
        <f t="shared" si="0"/>
        <v>0</v>
      </c>
      <c r="I18" s="232">
        <f>0/D18/12</f>
        <v>0</v>
      </c>
      <c r="J18" s="132">
        <f t="shared" si="1"/>
        <v>0</v>
      </c>
      <c r="K18" s="130">
        <f t="shared" si="2"/>
        <v>0</v>
      </c>
      <c r="L18" s="130">
        <f t="shared" si="17"/>
        <v>0</v>
      </c>
      <c r="M18" s="232">
        <f>0/D18/12</f>
        <v>0</v>
      </c>
      <c r="N18" s="167">
        <f t="shared" si="46"/>
        <v>0</v>
      </c>
      <c r="O18" s="130">
        <f t="shared" si="3"/>
        <v>0</v>
      </c>
      <c r="P18" s="136">
        <f t="shared" si="18"/>
        <v>0</v>
      </c>
      <c r="Q18" s="232">
        <f t="shared" si="19"/>
        <v>0</v>
      </c>
      <c r="R18" s="132">
        <f t="shared" si="47"/>
        <v>0</v>
      </c>
      <c r="S18" s="131">
        <f t="shared" si="4"/>
        <v>0</v>
      </c>
      <c r="T18" s="131">
        <f t="shared" si="20"/>
        <v>0</v>
      </c>
      <c r="U18" s="232">
        <f>80000/D18/12</f>
        <v>3.520816829504445</v>
      </c>
      <c r="V18" s="132">
        <f t="shared" si="5"/>
        <v>3.52</v>
      </c>
      <c r="W18" s="121">
        <f t="shared" si="6"/>
        <v>79981.44</v>
      </c>
      <c r="X18" s="132">
        <f t="shared" si="21"/>
        <v>79981</v>
      </c>
      <c r="Y18" s="232">
        <f>74000/D18/12</f>
        <v>3.2567555672916115</v>
      </c>
      <c r="Z18" s="132">
        <f t="shared" si="7"/>
        <v>3.26</v>
      </c>
      <c r="AA18" s="132">
        <f t="shared" si="8"/>
        <v>74073.72</v>
      </c>
      <c r="AB18" s="132">
        <f t="shared" si="22"/>
        <v>74074</v>
      </c>
      <c r="AC18" s="232">
        <f>0/D18/12</f>
        <v>0</v>
      </c>
      <c r="AD18" s="132">
        <f t="shared" si="9"/>
        <v>0</v>
      </c>
      <c r="AE18" s="132">
        <f>AC18*D18*12</f>
        <v>0</v>
      </c>
      <c r="AF18" s="132">
        <f t="shared" si="23"/>
        <v>0</v>
      </c>
      <c r="AG18" s="167">
        <f>0/D18/12</f>
        <v>0</v>
      </c>
      <c r="AH18" s="132">
        <f t="shared" si="24"/>
        <v>0</v>
      </c>
      <c r="AI18" s="130">
        <f t="shared" si="10"/>
        <v>0</v>
      </c>
      <c r="AJ18" s="178">
        <f t="shared" si="25"/>
        <v>0</v>
      </c>
      <c r="AK18" s="287">
        <f t="shared" si="11"/>
        <v>0</v>
      </c>
      <c r="AL18" s="288">
        <f t="shared" si="26"/>
        <v>0</v>
      </c>
      <c r="AM18" s="289">
        <f t="shared" si="27"/>
        <v>0</v>
      </c>
      <c r="AN18" s="289">
        <f t="shared" si="28"/>
        <v>0</v>
      </c>
      <c r="AO18" s="289">
        <f>0/D18/12</f>
        <v>0</v>
      </c>
      <c r="AP18" s="288">
        <f t="shared" si="30"/>
        <v>0</v>
      </c>
      <c r="AQ18" s="289">
        <f t="shared" si="31"/>
        <v>0</v>
      </c>
      <c r="AR18" s="289">
        <f t="shared" si="32"/>
        <v>0</v>
      </c>
      <c r="AS18" s="218">
        <f t="shared" si="51"/>
        <v>0</v>
      </c>
      <c r="AT18" s="167">
        <f t="shared" si="33"/>
        <v>0</v>
      </c>
      <c r="AU18" s="218">
        <f t="shared" si="50"/>
        <v>0</v>
      </c>
      <c r="AV18" s="218">
        <f t="shared" si="34"/>
        <v>0</v>
      </c>
      <c r="AW18" s="218">
        <f>0/D18/12</f>
        <v>0</v>
      </c>
      <c r="AX18" s="167">
        <f t="shared" si="35"/>
        <v>0</v>
      </c>
      <c r="AY18" s="218">
        <f t="shared" si="12"/>
        <v>0</v>
      </c>
      <c r="AZ18" s="218">
        <f t="shared" si="13"/>
        <v>0</v>
      </c>
      <c r="BA18" s="218">
        <f t="shared" si="14"/>
        <v>0</v>
      </c>
      <c r="BB18" s="218">
        <f t="shared" si="36"/>
        <v>0</v>
      </c>
      <c r="BC18" s="218">
        <f t="shared" si="37"/>
        <v>0</v>
      </c>
      <c r="BD18" s="218">
        <f t="shared" si="38"/>
        <v>0</v>
      </c>
      <c r="BE18" s="218">
        <f>0/D18/12</f>
        <v>0</v>
      </c>
      <c r="BF18" s="218">
        <f t="shared" si="39"/>
        <v>0</v>
      </c>
      <c r="BG18" s="218">
        <f t="shared" si="40"/>
        <v>0</v>
      </c>
      <c r="BH18" s="218">
        <f t="shared" si="41"/>
        <v>0</v>
      </c>
      <c r="BI18" s="218">
        <v>6.78</v>
      </c>
      <c r="BJ18" s="328">
        <f t="shared" si="42"/>
        <v>6.779999999999999</v>
      </c>
      <c r="BK18" s="370">
        <f t="shared" si="43"/>
        <v>140736.528</v>
      </c>
      <c r="BL18" s="326">
        <f t="shared" si="44"/>
        <v>154055</v>
      </c>
      <c r="BM18" s="281">
        <f t="shared" si="45"/>
        <v>154055</v>
      </c>
      <c r="BO18" s="211"/>
    </row>
    <row r="19" spans="1:67" ht="24.75" customHeight="1">
      <c r="A19" s="205">
        <v>7</v>
      </c>
      <c r="B19" s="126" t="s">
        <v>49</v>
      </c>
      <c r="C19" s="368">
        <v>3408.76</v>
      </c>
      <c r="D19" s="132">
        <v>3408.76</v>
      </c>
      <c r="E19" s="121">
        <f>25000/D19/12</f>
        <v>0.6111704353880394</v>
      </c>
      <c r="F19" s="132">
        <f t="shared" si="15"/>
        <v>0.61</v>
      </c>
      <c r="G19" s="132">
        <f t="shared" si="16"/>
        <v>24952.1232</v>
      </c>
      <c r="H19" s="130">
        <f t="shared" si="0"/>
        <v>24952</v>
      </c>
      <c r="I19" s="232">
        <f>20000/D19/12</f>
        <v>0.4889363483104315</v>
      </c>
      <c r="J19" s="132">
        <f t="shared" si="1"/>
        <v>0.49</v>
      </c>
      <c r="K19" s="130">
        <f t="shared" si="2"/>
        <v>20043.5088</v>
      </c>
      <c r="L19" s="130">
        <f t="shared" si="17"/>
        <v>20044</v>
      </c>
      <c r="M19" s="232">
        <f>11000/D19/12</f>
        <v>0.26891499157073734</v>
      </c>
      <c r="N19" s="167">
        <f t="shared" si="46"/>
        <v>0.27</v>
      </c>
      <c r="O19" s="130">
        <f t="shared" si="3"/>
        <v>11044.3824</v>
      </c>
      <c r="P19" s="130">
        <f t="shared" si="18"/>
        <v>11044</v>
      </c>
      <c r="Q19" s="232">
        <f>20000/D19/12</f>
        <v>0.4889363483104315</v>
      </c>
      <c r="R19" s="132">
        <f t="shared" si="47"/>
        <v>0.49</v>
      </c>
      <c r="S19" s="131">
        <f t="shared" si="4"/>
        <v>20043.5088</v>
      </c>
      <c r="T19" s="131">
        <f t="shared" si="20"/>
        <v>20044</v>
      </c>
      <c r="U19" s="232">
        <f>84000/D19/12</f>
        <v>2.0535326629038124</v>
      </c>
      <c r="V19" s="132">
        <f t="shared" si="5"/>
        <v>2.05</v>
      </c>
      <c r="W19" s="121">
        <f t="shared" si="6"/>
        <v>83855.496</v>
      </c>
      <c r="X19" s="132">
        <f t="shared" si="21"/>
        <v>83855</v>
      </c>
      <c r="Y19" s="232">
        <f>74000/D19/12</f>
        <v>1.8090644887485967</v>
      </c>
      <c r="Z19" s="132">
        <f t="shared" si="7"/>
        <v>1.81</v>
      </c>
      <c r="AA19" s="132">
        <f t="shared" si="8"/>
        <v>74038.2672</v>
      </c>
      <c r="AB19" s="132">
        <f t="shared" si="22"/>
        <v>74038</v>
      </c>
      <c r="AC19" s="232">
        <f t="shared" si="48"/>
        <v>0</v>
      </c>
      <c r="AD19" s="132">
        <f t="shared" si="9"/>
        <v>0</v>
      </c>
      <c r="AE19" s="132">
        <f t="shared" si="49"/>
        <v>0</v>
      </c>
      <c r="AF19" s="132">
        <f t="shared" si="23"/>
        <v>0</v>
      </c>
      <c r="AG19" s="167">
        <f>15000/D19/12</f>
        <v>0.3667022612328237</v>
      </c>
      <c r="AH19" s="132">
        <f t="shared" si="24"/>
        <v>0.37</v>
      </c>
      <c r="AI19" s="130">
        <f t="shared" si="10"/>
        <v>15134.894400000001</v>
      </c>
      <c r="AJ19" s="178">
        <f t="shared" si="25"/>
        <v>15135</v>
      </c>
      <c r="AK19" s="287">
        <f t="shared" si="11"/>
        <v>0</v>
      </c>
      <c r="AL19" s="288">
        <f t="shared" si="26"/>
        <v>0</v>
      </c>
      <c r="AM19" s="289">
        <f t="shared" si="27"/>
        <v>0</v>
      </c>
      <c r="AN19" s="289">
        <f t="shared" si="28"/>
        <v>0</v>
      </c>
      <c r="AO19" s="289">
        <f t="shared" si="29"/>
        <v>0.3667022612328237</v>
      </c>
      <c r="AP19" s="288">
        <f t="shared" si="30"/>
        <v>0.37</v>
      </c>
      <c r="AQ19" s="289">
        <f t="shared" si="31"/>
        <v>15134.894400000001</v>
      </c>
      <c r="AR19" s="289">
        <f t="shared" si="32"/>
        <v>15135</v>
      </c>
      <c r="AS19" s="218">
        <f t="shared" si="51"/>
        <v>0</v>
      </c>
      <c r="AT19" s="167">
        <f t="shared" si="33"/>
        <v>0</v>
      </c>
      <c r="AU19" s="218">
        <f t="shared" si="50"/>
        <v>0</v>
      </c>
      <c r="AV19" s="218">
        <f t="shared" si="34"/>
        <v>0</v>
      </c>
      <c r="AW19" s="218">
        <f>15000/D19/12</f>
        <v>0.3667022612328237</v>
      </c>
      <c r="AX19" s="167">
        <f t="shared" si="35"/>
        <v>0.37</v>
      </c>
      <c r="AY19" s="218">
        <f t="shared" si="12"/>
        <v>15134.894400000001</v>
      </c>
      <c r="AZ19" s="218">
        <f t="shared" si="13"/>
        <v>15135</v>
      </c>
      <c r="BA19" s="218">
        <f t="shared" si="14"/>
        <v>0</v>
      </c>
      <c r="BB19" s="218">
        <f t="shared" si="36"/>
        <v>0</v>
      </c>
      <c r="BC19" s="218">
        <f t="shared" si="37"/>
        <v>0</v>
      </c>
      <c r="BD19" s="218">
        <f t="shared" si="38"/>
        <v>0</v>
      </c>
      <c r="BE19" s="218">
        <f>6000/D19/12</f>
        <v>0.14668090449312945</v>
      </c>
      <c r="BF19" s="218">
        <f t="shared" si="39"/>
        <v>0.15</v>
      </c>
      <c r="BG19" s="218">
        <f t="shared" si="40"/>
        <v>6000</v>
      </c>
      <c r="BH19" s="218">
        <f t="shared" si="41"/>
        <v>6000</v>
      </c>
      <c r="BI19" s="218">
        <v>6.98</v>
      </c>
      <c r="BJ19" s="328">
        <f t="shared" si="42"/>
        <v>6.980000000000001</v>
      </c>
      <c r="BK19" s="370">
        <f t="shared" si="43"/>
        <v>285517.7376</v>
      </c>
      <c r="BL19" s="326">
        <f t="shared" si="44"/>
        <v>285382</v>
      </c>
      <c r="BM19" s="281">
        <f t="shared" si="45"/>
        <v>285382</v>
      </c>
      <c r="BO19" s="211"/>
    </row>
    <row r="20" spans="1:67" ht="24.75" customHeight="1">
      <c r="A20" s="205">
        <v>8</v>
      </c>
      <c r="B20" s="126" t="s">
        <v>50</v>
      </c>
      <c r="C20" s="368">
        <v>1690.9</v>
      </c>
      <c r="D20" s="132">
        <v>1690.9</v>
      </c>
      <c r="E20" s="121">
        <f>25000/D20/12</f>
        <v>1.2320854771620635</v>
      </c>
      <c r="F20" s="132">
        <f t="shared" si="15"/>
        <v>1.23</v>
      </c>
      <c r="G20" s="132">
        <f t="shared" si="16"/>
        <v>24957.684</v>
      </c>
      <c r="H20" s="130">
        <f t="shared" si="0"/>
        <v>24958</v>
      </c>
      <c r="I20" s="232">
        <f>0/D20/12</f>
        <v>0</v>
      </c>
      <c r="J20" s="132">
        <f t="shared" si="1"/>
        <v>0</v>
      </c>
      <c r="K20" s="130">
        <f t="shared" si="2"/>
        <v>0</v>
      </c>
      <c r="L20" s="130">
        <f t="shared" si="17"/>
        <v>0</v>
      </c>
      <c r="M20" s="232">
        <f>0/D20/12</f>
        <v>0</v>
      </c>
      <c r="N20" s="167">
        <f t="shared" si="46"/>
        <v>0</v>
      </c>
      <c r="O20" s="130">
        <f t="shared" si="3"/>
        <v>0</v>
      </c>
      <c r="P20" s="130">
        <f t="shared" si="18"/>
        <v>0</v>
      </c>
      <c r="Q20" s="232">
        <f t="shared" si="19"/>
        <v>0</v>
      </c>
      <c r="R20" s="132">
        <f t="shared" si="47"/>
        <v>0</v>
      </c>
      <c r="S20" s="131">
        <f t="shared" si="4"/>
        <v>0</v>
      </c>
      <c r="T20" s="131">
        <f t="shared" si="20"/>
        <v>0</v>
      </c>
      <c r="U20" s="232">
        <f>0/D20/12</f>
        <v>0</v>
      </c>
      <c r="V20" s="132">
        <f t="shared" si="5"/>
        <v>0</v>
      </c>
      <c r="W20" s="121">
        <f t="shared" si="6"/>
        <v>0</v>
      </c>
      <c r="X20" s="132">
        <f t="shared" si="21"/>
        <v>0</v>
      </c>
      <c r="Y20" s="232">
        <f>74000/D20/12</f>
        <v>3.6469730123997084</v>
      </c>
      <c r="Z20" s="132">
        <f t="shared" si="7"/>
        <v>3.65</v>
      </c>
      <c r="AA20" s="132">
        <f t="shared" si="8"/>
        <v>74061.42</v>
      </c>
      <c r="AB20" s="132">
        <f t="shared" si="22"/>
        <v>74061</v>
      </c>
      <c r="AC20" s="232">
        <f>0/D20/12</f>
        <v>0</v>
      </c>
      <c r="AD20" s="132">
        <f t="shared" si="9"/>
        <v>0</v>
      </c>
      <c r="AE20" s="132">
        <f t="shared" si="49"/>
        <v>0</v>
      </c>
      <c r="AF20" s="132">
        <f t="shared" si="23"/>
        <v>0</v>
      </c>
      <c r="AG20" s="167">
        <f>0/D20/12</f>
        <v>0</v>
      </c>
      <c r="AH20" s="132">
        <f t="shared" si="24"/>
        <v>0</v>
      </c>
      <c r="AI20" s="130">
        <f t="shared" si="10"/>
        <v>0</v>
      </c>
      <c r="AJ20" s="178">
        <f t="shared" si="25"/>
        <v>0</v>
      </c>
      <c r="AK20" s="287">
        <f t="shared" si="11"/>
        <v>0</v>
      </c>
      <c r="AL20" s="288">
        <f t="shared" si="26"/>
        <v>0</v>
      </c>
      <c r="AM20" s="289">
        <f t="shared" si="27"/>
        <v>0</v>
      </c>
      <c r="AN20" s="289">
        <f t="shared" si="28"/>
        <v>0</v>
      </c>
      <c r="AO20" s="289">
        <f t="shared" si="29"/>
        <v>0.7392512862972381</v>
      </c>
      <c r="AP20" s="288">
        <f t="shared" si="30"/>
        <v>0.74</v>
      </c>
      <c r="AQ20" s="289">
        <f t="shared" si="31"/>
        <v>15015.192000000001</v>
      </c>
      <c r="AR20" s="289">
        <f t="shared" si="32"/>
        <v>15015</v>
      </c>
      <c r="AS20" s="218">
        <f t="shared" si="51"/>
        <v>0</v>
      </c>
      <c r="AT20" s="167">
        <f t="shared" si="33"/>
        <v>0</v>
      </c>
      <c r="AU20" s="218">
        <f t="shared" si="50"/>
        <v>0</v>
      </c>
      <c r="AV20" s="218">
        <f t="shared" si="34"/>
        <v>0</v>
      </c>
      <c r="AW20" s="218">
        <f>15000/D20/12</f>
        <v>0.7392512862972381</v>
      </c>
      <c r="AX20" s="167">
        <f t="shared" si="35"/>
        <v>0.74</v>
      </c>
      <c r="AY20" s="218">
        <f t="shared" si="12"/>
        <v>15015.192000000001</v>
      </c>
      <c r="AZ20" s="218">
        <f t="shared" si="13"/>
        <v>15015</v>
      </c>
      <c r="BA20" s="218">
        <f t="shared" si="14"/>
        <v>0</v>
      </c>
      <c r="BB20" s="218">
        <f t="shared" si="36"/>
        <v>0</v>
      </c>
      <c r="BC20" s="218">
        <f t="shared" si="37"/>
        <v>0</v>
      </c>
      <c r="BD20" s="218">
        <f t="shared" si="38"/>
        <v>0</v>
      </c>
      <c r="BE20" s="218">
        <f>6000/D20/12</f>
        <v>0.29570051451889523</v>
      </c>
      <c r="BF20" s="218">
        <f t="shared" si="39"/>
        <v>0.3</v>
      </c>
      <c r="BG20" s="218">
        <f t="shared" si="40"/>
        <v>5999.999999999999</v>
      </c>
      <c r="BH20" s="218">
        <f t="shared" si="41"/>
        <v>6000</v>
      </c>
      <c r="BI20" s="218">
        <v>6.6</v>
      </c>
      <c r="BJ20" s="328">
        <f t="shared" si="42"/>
        <v>6.66</v>
      </c>
      <c r="BK20" s="370">
        <f t="shared" si="43"/>
        <v>133919.28</v>
      </c>
      <c r="BL20" s="326">
        <f t="shared" si="44"/>
        <v>135049</v>
      </c>
      <c r="BM20" s="281">
        <f t="shared" si="45"/>
        <v>135049</v>
      </c>
      <c r="BO20" s="211"/>
    </row>
    <row r="21" spans="1:67" ht="24.75" customHeight="1">
      <c r="A21" s="205">
        <v>9</v>
      </c>
      <c r="B21" s="126" t="s">
        <v>51</v>
      </c>
      <c r="C21" s="368">
        <v>1728.1</v>
      </c>
      <c r="D21" s="132">
        <v>1728.1</v>
      </c>
      <c r="E21" s="121">
        <f>0/D21/12</f>
        <v>0</v>
      </c>
      <c r="F21" s="132">
        <f t="shared" si="15"/>
        <v>0</v>
      </c>
      <c r="G21" s="132">
        <f t="shared" si="16"/>
        <v>0</v>
      </c>
      <c r="H21" s="130">
        <f t="shared" si="0"/>
        <v>0</v>
      </c>
      <c r="I21" s="232">
        <f>0/D21/12</f>
        <v>0</v>
      </c>
      <c r="J21" s="132">
        <f t="shared" si="1"/>
        <v>0</v>
      </c>
      <c r="K21" s="130">
        <f t="shared" si="2"/>
        <v>0</v>
      </c>
      <c r="L21" s="130">
        <f t="shared" si="17"/>
        <v>0</v>
      </c>
      <c r="M21" s="232">
        <f>0/D21/12</f>
        <v>0</v>
      </c>
      <c r="N21" s="167">
        <f t="shared" si="46"/>
        <v>0</v>
      </c>
      <c r="O21" s="130">
        <f t="shared" si="3"/>
        <v>0</v>
      </c>
      <c r="P21" s="136">
        <f t="shared" si="18"/>
        <v>0</v>
      </c>
      <c r="Q21" s="232">
        <f t="shared" si="19"/>
        <v>0</v>
      </c>
      <c r="R21" s="132">
        <f t="shared" si="47"/>
        <v>0</v>
      </c>
      <c r="S21" s="131">
        <f t="shared" si="4"/>
        <v>0</v>
      </c>
      <c r="T21" s="131">
        <f t="shared" si="20"/>
        <v>0</v>
      </c>
      <c r="U21" s="232">
        <f>0/D21/12</f>
        <v>0</v>
      </c>
      <c r="V21" s="132">
        <f t="shared" si="5"/>
        <v>0</v>
      </c>
      <c r="W21" s="121">
        <f t="shared" si="6"/>
        <v>0</v>
      </c>
      <c r="X21" s="132">
        <f t="shared" si="21"/>
        <v>0</v>
      </c>
      <c r="Y21" s="232">
        <f>0/D21/12</f>
        <v>0</v>
      </c>
      <c r="Z21" s="132">
        <f t="shared" si="7"/>
        <v>0</v>
      </c>
      <c r="AA21" s="132">
        <f t="shared" si="8"/>
        <v>0</v>
      </c>
      <c r="AB21" s="132">
        <f t="shared" si="22"/>
        <v>0</v>
      </c>
      <c r="AC21" s="232">
        <f>0/D21/12</f>
        <v>0</v>
      </c>
      <c r="AD21" s="132">
        <f t="shared" si="9"/>
        <v>0</v>
      </c>
      <c r="AE21" s="132">
        <f t="shared" si="49"/>
        <v>0</v>
      </c>
      <c r="AF21" s="132">
        <f t="shared" si="23"/>
        <v>0</v>
      </c>
      <c r="AG21" s="167">
        <f>0/D21/12</f>
        <v>0</v>
      </c>
      <c r="AH21" s="132">
        <f t="shared" si="24"/>
        <v>0</v>
      </c>
      <c r="AI21" s="130">
        <f t="shared" si="10"/>
        <v>0</v>
      </c>
      <c r="AJ21" s="178">
        <f t="shared" si="25"/>
        <v>0</v>
      </c>
      <c r="AK21" s="287">
        <f t="shared" si="11"/>
        <v>0</v>
      </c>
      <c r="AL21" s="288">
        <f t="shared" si="26"/>
        <v>0</v>
      </c>
      <c r="AM21" s="289">
        <f t="shared" si="27"/>
        <v>0</v>
      </c>
      <c r="AN21" s="289">
        <f t="shared" si="28"/>
        <v>0</v>
      </c>
      <c r="AO21" s="289">
        <f t="shared" si="29"/>
        <v>0.7233377698049882</v>
      </c>
      <c r="AP21" s="288">
        <f t="shared" si="30"/>
        <v>0.72</v>
      </c>
      <c r="AQ21" s="289">
        <f t="shared" si="31"/>
        <v>14930.784</v>
      </c>
      <c r="AR21" s="289">
        <f t="shared" si="32"/>
        <v>14931</v>
      </c>
      <c r="AS21" s="218">
        <f t="shared" si="51"/>
        <v>0</v>
      </c>
      <c r="AT21" s="167">
        <f t="shared" si="33"/>
        <v>0</v>
      </c>
      <c r="AU21" s="218">
        <f t="shared" si="50"/>
        <v>0</v>
      </c>
      <c r="AV21" s="218">
        <f t="shared" si="34"/>
        <v>0</v>
      </c>
      <c r="AW21" s="218">
        <f>20000/D21/12</f>
        <v>0.9644503597399843</v>
      </c>
      <c r="AX21" s="167">
        <f t="shared" si="35"/>
        <v>0.96</v>
      </c>
      <c r="AY21" s="218">
        <f t="shared" si="12"/>
        <v>19907.712</v>
      </c>
      <c r="AZ21" s="218">
        <f t="shared" si="13"/>
        <v>19908</v>
      </c>
      <c r="BA21" s="218">
        <f>100000/D21/12</f>
        <v>4.822251798699921</v>
      </c>
      <c r="BB21" s="218">
        <f t="shared" si="36"/>
        <v>4.82</v>
      </c>
      <c r="BC21" s="218">
        <f t="shared" si="37"/>
        <v>99953.304</v>
      </c>
      <c r="BD21" s="218">
        <f t="shared" si="38"/>
        <v>99953</v>
      </c>
      <c r="BE21" s="218">
        <f>6000/D21/12</f>
        <v>0.2893351079219953</v>
      </c>
      <c r="BF21" s="218">
        <f t="shared" si="39"/>
        <v>0.29</v>
      </c>
      <c r="BG21" s="218">
        <f t="shared" si="40"/>
        <v>6000.000000000001</v>
      </c>
      <c r="BH21" s="218">
        <f t="shared" si="41"/>
        <v>6000</v>
      </c>
      <c r="BI21" s="218">
        <v>6.79</v>
      </c>
      <c r="BJ21" s="328">
        <f t="shared" si="42"/>
        <v>6.79</v>
      </c>
      <c r="BK21" s="370">
        <f t="shared" si="43"/>
        <v>140805.588</v>
      </c>
      <c r="BL21" s="326">
        <f t="shared" si="44"/>
        <v>140792</v>
      </c>
      <c r="BM21" s="281">
        <f t="shared" si="45"/>
        <v>140792</v>
      </c>
      <c r="BO21" s="211"/>
    </row>
    <row r="22" spans="1:67" ht="24.75" customHeight="1">
      <c r="A22" s="205">
        <v>10</v>
      </c>
      <c r="B22" s="126" t="s">
        <v>52</v>
      </c>
      <c r="C22" s="368">
        <v>3379.41</v>
      </c>
      <c r="D22" s="132">
        <v>3379.41</v>
      </c>
      <c r="E22" s="121">
        <f>28000/D22/12</f>
        <v>0.6904558290747005</v>
      </c>
      <c r="F22" s="132">
        <f t="shared" si="15"/>
        <v>0.69</v>
      </c>
      <c r="G22" s="132">
        <f t="shared" si="16"/>
        <v>27981.514799999997</v>
      </c>
      <c r="H22" s="130">
        <f t="shared" si="0"/>
        <v>27982</v>
      </c>
      <c r="I22" s="232">
        <f>0/D22/12</f>
        <v>0</v>
      </c>
      <c r="J22" s="132">
        <f t="shared" si="1"/>
        <v>0</v>
      </c>
      <c r="K22" s="130">
        <f t="shared" si="2"/>
        <v>0</v>
      </c>
      <c r="L22" s="130">
        <f t="shared" si="17"/>
        <v>0</v>
      </c>
      <c r="M22" s="232">
        <f>11000/D22/12</f>
        <v>0.2712505042793466</v>
      </c>
      <c r="N22" s="167">
        <f t="shared" si="46"/>
        <v>0.27</v>
      </c>
      <c r="O22" s="130">
        <f t="shared" si="3"/>
        <v>10949.2884</v>
      </c>
      <c r="P22" s="130">
        <f t="shared" si="18"/>
        <v>10949</v>
      </c>
      <c r="Q22" s="232">
        <f t="shared" si="19"/>
        <v>0</v>
      </c>
      <c r="R22" s="132">
        <f t="shared" si="47"/>
        <v>0</v>
      </c>
      <c r="S22" s="131">
        <f t="shared" si="4"/>
        <v>0</v>
      </c>
      <c r="T22" s="131">
        <f t="shared" si="20"/>
        <v>0</v>
      </c>
      <c r="U22" s="232">
        <f>95000/D22/12</f>
        <v>2.342617991503448</v>
      </c>
      <c r="V22" s="132">
        <f t="shared" si="5"/>
        <v>2.34</v>
      </c>
      <c r="W22" s="121">
        <f t="shared" si="6"/>
        <v>94893.83279999999</v>
      </c>
      <c r="X22" s="132">
        <f t="shared" si="21"/>
        <v>94894</v>
      </c>
      <c r="Y22" s="232">
        <f>85000/D22/12</f>
        <v>2.096026623976769</v>
      </c>
      <c r="Z22" s="132">
        <f t="shared" si="7"/>
        <v>2.1</v>
      </c>
      <c r="AA22" s="132">
        <f t="shared" si="8"/>
        <v>85161.13200000001</v>
      </c>
      <c r="AB22" s="132">
        <f t="shared" si="22"/>
        <v>85161</v>
      </c>
      <c r="AC22" s="232">
        <f t="shared" si="48"/>
        <v>0</v>
      </c>
      <c r="AD22" s="132">
        <f t="shared" si="9"/>
        <v>0</v>
      </c>
      <c r="AE22" s="132">
        <f t="shared" si="49"/>
        <v>0</v>
      </c>
      <c r="AF22" s="132">
        <f t="shared" si="23"/>
        <v>0</v>
      </c>
      <c r="AG22" s="167">
        <f>0/D22/12</f>
        <v>0</v>
      </c>
      <c r="AH22" s="132">
        <f t="shared" si="24"/>
        <v>0</v>
      </c>
      <c r="AI22" s="130">
        <f t="shared" si="10"/>
        <v>0</v>
      </c>
      <c r="AJ22" s="178">
        <f t="shared" si="25"/>
        <v>0</v>
      </c>
      <c r="AK22" s="287">
        <f t="shared" si="11"/>
        <v>0</v>
      </c>
      <c r="AL22" s="288">
        <f t="shared" si="26"/>
        <v>0</v>
      </c>
      <c r="AM22" s="289">
        <f t="shared" si="27"/>
        <v>0</v>
      </c>
      <c r="AN22" s="289">
        <f t="shared" si="28"/>
        <v>0</v>
      </c>
      <c r="AO22" s="289">
        <f t="shared" si="29"/>
        <v>0.3698870512900181</v>
      </c>
      <c r="AP22" s="288">
        <f t="shared" si="30"/>
        <v>0.37</v>
      </c>
      <c r="AQ22" s="289">
        <f t="shared" si="31"/>
        <v>15004.580399999999</v>
      </c>
      <c r="AR22" s="289">
        <f t="shared" si="32"/>
        <v>15005</v>
      </c>
      <c r="AS22" s="218">
        <f t="shared" si="51"/>
        <v>0</v>
      </c>
      <c r="AT22" s="167">
        <f t="shared" si="33"/>
        <v>0</v>
      </c>
      <c r="AU22" s="218">
        <f t="shared" si="50"/>
        <v>0</v>
      </c>
      <c r="AV22" s="218">
        <f t="shared" si="34"/>
        <v>0</v>
      </c>
      <c r="AW22" s="218">
        <f>25000/D22/12</f>
        <v>0.6164784188166968</v>
      </c>
      <c r="AX22" s="167">
        <f t="shared" si="35"/>
        <v>0.62</v>
      </c>
      <c r="AY22" s="218">
        <f>AX22*D22*12</f>
        <v>25142.8104</v>
      </c>
      <c r="AZ22" s="218">
        <f t="shared" si="13"/>
        <v>25143</v>
      </c>
      <c r="BA22" s="218">
        <f aca="true" t="shared" si="52" ref="BA22:BA36">0/D22/12</f>
        <v>0</v>
      </c>
      <c r="BB22" s="218">
        <f t="shared" si="36"/>
        <v>0</v>
      </c>
      <c r="BC22" s="218">
        <f t="shared" si="37"/>
        <v>0</v>
      </c>
      <c r="BD22" s="218">
        <f t="shared" si="38"/>
        <v>0</v>
      </c>
      <c r="BE22" s="218">
        <f>0/D22/12</f>
        <v>0</v>
      </c>
      <c r="BF22" s="218">
        <f t="shared" si="39"/>
        <v>0</v>
      </c>
      <c r="BG22" s="218">
        <f t="shared" si="40"/>
        <v>0</v>
      </c>
      <c r="BH22" s="218">
        <f t="shared" si="41"/>
        <v>0</v>
      </c>
      <c r="BI22" s="218">
        <v>6.39</v>
      </c>
      <c r="BJ22" s="328">
        <f t="shared" si="42"/>
        <v>6.390000000000001</v>
      </c>
      <c r="BK22" s="370">
        <f t="shared" si="43"/>
        <v>259133.15879999998</v>
      </c>
      <c r="BL22" s="326">
        <f t="shared" si="44"/>
        <v>259134</v>
      </c>
      <c r="BM22" s="281">
        <f t="shared" si="45"/>
        <v>259134</v>
      </c>
      <c r="BO22" s="211"/>
    </row>
    <row r="23" spans="1:67" ht="24.75" customHeight="1">
      <c r="A23" s="205">
        <v>11</v>
      </c>
      <c r="B23" s="126" t="s">
        <v>53</v>
      </c>
      <c r="C23" s="368">
        <v>3501.1</v>
      </c>
      <c r="D23" s="132">
        <v>3819.9</v>
      </c>
      <c r="E23" s="121">
        <f>25000/D23/12</f>
        <v>0.5453894953620076</v>
      </c>
      <c r="F23" s="132">
        <f t="shared" si="15"/>
        <v>0.55</v>
      </c>
      <c r="G23" s="132">
        <f t="shared" si="16"/>
        <v>25211.340000000004</v>
      </c>
      <c r="H23" s="130">
        <f t="shared" si="0"/>
        <v>25211</v>
      </c>
      <c r="I23" s="232">
        <f>0/D23/12</f>
        <v>0</v>
      </c>
      <c r="J23" s="132">
        <f t="shared" si="1"/>
        <v>0</v>
      </c>
      <c r="K23" s="130">
        <f t="shared" si="2"/>
        <v>0</v>
      </c>
      <c r="L23" s="130">
        <f t="shared" si="17"/>
        <v>0</v>
      </c>
      <c r="M23" s="232">
        <f>11000/D23/12</f>
        <v>0.2399713779592834</v>
      </c>
      <c r="N23" s="167">
        <f t="shared" si="46"/>
        <v>0.24</v>
      </c>
      <c r="O23" s="130">
        <f t="shared" si="3"/>
        <v>11001.312</v>
      </c>
      <c r="P23" s="130">
        <f t="shared" si="18"/>
        <v>11001</v>
      </c>
      <c r="Q23" s="232">
        <f>18000/D23/12</f>
        <v>0.39268043666064556</v>
      </c>
      <c r="R23" s="132">
        <f t="shared" si="47"/>
        <v>0.39</v>
      </c>
      <c r="S23" s="131">
        <f t="shared" si="4"/>
        <v>17877.132</v>
      </c>
      <c r="T23" s="131">
        <f t="shared" si="20"/>
        <v>17877</v>
      </c>
      <c r="U23" s="232">
        <f>95000/D23/12</f>
        <v>2.072480082375629</v>
      </c>
      <c r="V23" s="132">
        <f t="shared" si="5"/>
        <v>2.07</v>
      </c>
      <c r="W23" s="121">
        <f t="shared" si="6"/>
        <v>94886.31599999999</v>
      </c>
      <c r="X23" s="132">
        <f t="shared" si="21"/>
        <v>94886</v>
      </c>
      <c r="Y23" s="232">
        <f>85000/D23/12</f>
        <v>1.8543242842308263</v>
      </c>
      <c r="Z23" s="132">
        <f t="shared" si="7"/>
        <v>1.85</v>
      </c>
      <c r="AA23" s="132">
        <f t="shared" si="8"/>
        <v>84801.78</v>
      </c>
      <c r="AB23" s="132">
        <f t="shared" si="22"/>
        <v>84802</v>
      </c>
      <c r="AC23" s="232">
        <f>25000/D23/12</f>
        <v>0.5453894953620076</v>
      </c>
      <c r="AD23" s="132">
        <f t="shared" si="9"/>
        <v>0.55</v>
      </c>
      <c r="AE23" s="132">
        <f>AC23*D23*12</f>
        <v>24999.999999999996</v>
      </c>
      <c r="AF23" s="132">
        <f t="shared" si="23"/>
        <v>25000</v>
      </c>
      <c r="AG23" s="167">
        <f>0/D23/12</f>
        <v>0</v>
      </c>
      <c r="AH23" s="132">
        <f t="shared" si="24"/>
        <v>0</v>
      </c>
      <c r="AI23" s="130">
        <f t="shared" si="10"/>
        <v>0</v>
      </c>
      <c r="AJ23" s="178">
        <f t="shared" si="25"/>
        <v>0</v>
      </c>
      <c r="AK23" s="287">
        <f>0/D23/12</f>
        <v>0</v>
      </c>
      <c r="AL23" s="288">
        <f t="shared" si="26"/>
        <v>0</v>
      </c>
      <c r="AM23" s="289">
        <f t="shared" si="27"/>
        <v>0</v>
      </c>
      <c r="AN23" s="289">
        <f t="shared" si="28"/>
        <v>0</v>
      </c>
      <c r="AO23" s="289">
        <f t="shared" si="29"/>
        <v>0.32723369721720463</v>
      </c>
      <c r="AP23" s="288">
        <f t="shared" si="30"/>
        <v>0.33</v>
      </c>
      <c r="AQ23" s="289">
        <f t="shared" si="31"/>
        <v>15126.804</v>
      </c>
      <c r="AR23" s="289">
        <f t="shared" si="32"/>
        <v>15127</v>
      </c>
      <c r="AS23" s="218">
        <f t="shared" si="51"/>
        <v>0</v>
      </c>
      <c r="AT23" s="167">
        <f t="shared" si="33"/>
        <v>0</v>
      </c>
      <c r="AU23" s="218">
        <f t="shared" si="50"/>
        <v>0</v>
      </c>
      <c r="AV23" s="218">
        <f t="shared" si="34"/>
        <v>0</v>
      </c>
      <c r="AW23" s="218">
        <f>10000/D23/12</f>
        <v>0.2181557981448031</v>
      </c>
      <c r="AX23" s="167">
        <f t="shared" si="35"/>
        <v>0.22</v>
      </c>
      <c r="AY23" s="218">
        <f aca="true" t="shared" si="53" ref="AY23:AY36">AX23*D23*12</f>
        <v>10084.536</v>
      </c>
      <c r="AZ23" s="218">
        <f t="shared" si="13"/>
        <v>10085</v>
      </c>
      <c r="BA23" s="218">
        <f>0/D23/12</f>
        <v>0</v>
      </c>
      <c r="BB23" s="218">
        <f t="shared" si="36"/>
        <v>0</v>
      </c>
      <c r="BC23" s="218">
        <f t="shared" si="37"/>
        <v>0</v>
      </c>
      <c r="BD23" s="218">
        <f t="shared" si="38"/>
        <v>0</v>
      </c>
      <c r="BE23" s="218">
        <f>0/D23/12</f>
        <v>0</v>
      </c>
      <c r="BF23" s="218">
        <f t="shared" si="39"/>
        <v>0</v>
      </c>
      <c r="BG23" s="218">
        <f t="shared" si="40"/>
        <v>0</v>
      </c>
      <c r="BH23" s="218">
        <f t="shared" si="41"/>
        <v>0</v>
      </c>
      <c r="BI23" s="218">
        <v>6.2</v>
      </c>
      <c r="BJ23" s="328">
        <f t="shared" si="42"/>
        <v>6.199999999999999</v>
      </c>
      <c r="BK23" s="370">
        <f t="shared" si="43"/>
        <v>260481.84</v>
      </c>
      <c r="BL23" s="326">
        <f t="shared" si="44"/>
        <v>283989</v>
      </c>
      <c r="BM23" s="281">
        <f t="shared" si="45"/>
        <v>283989</v>
      </c>
      <c r="BO23" s="211"/>
    </row>
    <row r="24" spans="1:67" ht="24.75" customHeight="1">
      <c r="A24" s="205">
        <v>12</v>
      </c>
      <c r="B24" s="126" t="s">
        <v>54</v>
      </c>
      <c r="C24" s="368">
        <v>1685.2</v>
      </c>
      <c r="D24" s="132">
        <v>1685.2</v>
      </c>
      <c r="E24" s="121">
        <f>35000/D24/12</f>
        <v>1.7307540153493155</v>
      </c>
      <c r="F24" s="132">
        <f t="shared" si="15"/>
        <v>1.73</v>
      </c>
      <c r="G24" s="132">
        <f t="shared" si="16"/>
        <v>34984.752</v>
      </c>
      <c r="H24" s="130">
        <f t="shared" si="0"/>
        <v>34985</v>
      </c>
      <c r="I24" s="232">
        <f>0/D24/12</f>
        <v>0</v>
      </c>
      <c r="J24" s="132">
        <f t="shared" si="1"/>
        <v>0</v>
      </c>
      <c r="K24" s="130">
        <f t="shared" si="2"/>
        <v>0</v>
      </c>
      <c r="L24" s="130">
        <f t="shared" si="17"/>
        <v>0</v>
      </c>
      <c r="M24" s="232">
        <f>0/D24/12</f>
        <v>0</v>
      </c>
      <c r="N24" s="167">
        <f t="shared" si="46"/>
        <v>0</v>
      </c>
      <c r="O24" s="130">
        <f t="shared" si="3"/>
        <v>0</v>
      </c>
      <c r="P24" s="130">
        <f t="shared" si="18"/>
        <v>0</v>
      </c>
      <c r="Q24" s="232">
        <f t="shared" si="19"/>
        <v>0</v>
      </c>
      <c r="R24" s="132">
        <f t="shared" si="47"/>
        <v>0</v>
      </c>
      <c r="S24" s="131">
        <f t="shared" si="4"/>
        <v>0</v>
      </c>
      <c r="T24" s="131">
        <f t="shared" si="20"/>
        <v>0</v>
      </c>
      <c r="U24" s="232">
        <f>0/D24/12</f>
        <v>0</v>
      </c>
      <c r="V24" s="132">
        <f t="shared" si="5"/>
        <v>0</v>
      </c>
      <c r="W24" s="121">
        <f t="shared" si="6"/>
        <v>0</v>
      </c>
      <c r="X24" s="132">
        <f t="shared" si="21"/>
        <v>0</v>
      </c>
      <c r="Y24" s="232">
        <f>0/D24/12</f>
        <v>0</v>
      </c>
      <c r="Z24" s="132">
        <f t="shared" si="7"/>
        <v>0</v>
      </c>
      <c r="AA24" s="132">
        <f t="shared" si="8"/>
        <v>0</v>
      </c>
      <c r="AB24" s="132">
        <f t="shared" si="22"/>
        <v>0</v>
      </c>
      <c r="AC24" s="232">
        <f>0/D24/12</f>
        <v>0</v>
      </c>
      <c r="AD24" s="132">
        <f t="shared" si="9"/>
        <v>0</v>
      </c>
      <c r="AE24" s="132">
        <f>AC24*D24*12</f>
        <v>0</v>
      </c>
      <c r="AF24" s="132">
        <f t="shared" si="23"/>
        <v>0</v>
      </c>
      <c r="AG24" s="167">
        <f>0/D24/12</f>
        <v>0</v>
      </c>
      <c r="AH24" s="132">
        <f t="shared" si="24"/>
        <v>0</v>
      </c>
      <c r="AI24" s="130">
        <f t="shared" si="10"/>
        <v>0</v>
      </c>
      <c r="AJ24" s="178">
        <f t="shared" si="25"/>
        <v>0</v>
      </c>
      <c r="AK24" s="287">
        <f>0/D24/12</f>
        <v>0</v>
      </c>
      <c r="AL24" s="288">
        <f t="shared" si="26"/>
        <v>0</v>
      </c>
      <c r="AM24" s="289">
        <f t="shared" si="27"/>
        <v>0</v>
      </c>
      <c r="AN24" s="289">
        <f t="shared" si="28"/>
        <v>0</v>
      </c>
      <c r="AO24" s="289">
        <f t="shared" si="29"/>
        <v>0.7417517208639923</v>
      </c>
      <c r="AP24" s="288">
        <f t="shared" si="30"/>
        <v>0.74</v>
      </c>
      <c r="AQ24" s="289">
        <f t="shared" si="31"/>
        <v>14964.576000000001</v>
      </c>
      <c r="AR24" s="289">
        <f t="shared" si="32"/>
        <v>14965</v>
      </c>
      <c r="AS24" s="218">
        <f t="shared" si="51"/>
        <v>0</v>
      </c>
      <c r="AT24" s="167">
        <f t="shared" si="33"/>
        <v>0</v>
      </c>
      <c r="AU24" s="218">
        <f t="shared" si="50"/>
        <v>0</v>
      </c>
      <c r="AV24" s="218">
        <f t="shared" si="34"/>
        <v>0</v>
      </c>
      <c r="AW24" s="218">
        <f>0/D24/12</f>
        <v>0</v>
      </c>
      <c r="AX24" s="167">
        <f t="shared" si="35"/>
        <v>0</v>
      </c>
      <c r="AY24" s="218">
        <f t="shared" si="53"/>
        <v>0</v>
      </c>
      <c r="AZ24" s="218">
        <f t="shared" si="13"/>
        <v>0</v>
      </c>
      <c r="BA24" s="218">
        <f>100000/D24/12</f>
        <v>4.945011472426616</v>
      </c>
      <c r="BB24" s="218">
        <f t="shared" si="36"/>
        <v>4.95</v>
      </c>
      <c r="BC24" s="218">
        <f t="shared" si="37"/>
        <v>100100.88</v>
      </c>
      <c r="BD24" s="218">
        <f t="shared" si="38"/>
        <v>100101</v>
      </c>
      <c r="BE24" s="218">
        <f>0/D24/12</f>
        <v>0</v>
      </c>
      <c r="BF24" s="218">
        <f t="shared" si="39"/>
        <v>0</v>
      </c>
      <c r="BG24" s="218">
        <f t="shared" si="40"/>
        <v>0</v>
      </c>
      <c r="BH24" s="218">
        <f t="shared" si="41"/>
        <v>0</v>
      </c>
      <c r="BI24" s="218">
        <v>7.42</v>
      </c>
      <c r="BJ24" s="328">
        <f t="shared" si="42"/>
        <v>7.42</v>
      </c>
      <c r="BK24" s="370">
        <f t="shared" si="43"/>
        <v>150050.208</v>
      </c>
      <c r="BL24" s="326">
        <f t="shared" si="44"/>
        <v>150051</v>
      </c>
      <c r="BM24" s="281">
        <f t="shared" si="45"/>
        <v>150051</v>
      </c>
      <c r="BO24" s="211"/>
    </row>
    <row r="25" spans="1:67" ht="24.75" customHeight="1">
      <c r="A25" s="205">
        <v>13</v>
      </c>
      <c r="B25" s="126" t="s">
        <v>55</v>
      </c>
      <c r="C25" s="368">
        <v>3435.5</v>
      </c>
      <c r="D25" s="132">
        <v>3435.5</v>
      </c>
      <c r="E25" s="121">
        <f>25000/D25/12</f>
        <v>0.606413428418959</v>
      </c>
      <c r="F25" s="132">
        <f t="shared" si="15"/>
        <v>0.61</v>
      </c>
      <c r="G25" s="132">
        <f t="shared" si="16"/>
        <v>25147.859999999997</v>
      </c>
      <c r="H25" s="130">
        <f t="shared" si="0"/>
        <v>25148</v>
      </c>
      <c r="I25" s="232">
        <f>25000/D25/12</f>
        <v>0.606413428418959</v>
      </c>
      <c r="J25" s="132">
        <f t="shared" si="1"/>
        <v>0.61</v>
      </c>
      <c r="K25" s="130">
        <f t="shared" si="2"/>
        <v>25147.859999999997</v>
      </c>
      <c r="L25" s="130">
        <f t="shared" si="17"/>
        <v>25148</v>
      </c>
      <c r="M25" s="232">
        <f>11000/D25/12</f>
        <v>0.2668219085043419</v>
      </c>
      <c r="N25" s="167">
        <f t="shared" si="46"/>
        <v>0.27</v>
      </c>
      <c r="O25" s="130">
        <f t="shared" si="3"/>
        <v>11131.02</v>
      </c>
      <c r="P25" s="130">
        <f t="shared" si="18"/>
        <v>11131</v>
      </c>
      <c r="Q25" s="232">
        <f>0/D25/12</f>
        <v>0</v>
      </c>
      <c r="R25" s="132">
        <f t="shared" si="47"/>
        <v>0</v>
      </c>
      <c r="S25" s="131">
        <f t="shared" si="4"/>
        <v>0</v>
      </c>
      <c r="T25" s="199">
        <f t="shared" si="20"/>
        <v>0</v>
      </c>
      <c r="U25" s="232">
        <f>95000/D25/12</f>
        <v>2.304371027992044</v>
      </c>
      <c r="V25" s="132">
        <f t="shared" si="5"/>
        <v>2.3</v>
      </c>
      <c r="W25" s="121">
        <f t="shared" si="6"/>
        <v>94819.79999999999</v>
      </c>
      <c r="X25" s="132">
        <f t="shared" si="21"/>
        <v>94820</v>
      </c>
      <c r="Y25" s="232">
        <f>80000/D25/12</f>
        <v>1.9405229709406686</v>
      </c>
      <c r="Z25" s="132">
        <f t="shared" si="7"/>
        <v>1.94</v>
      </c>
      <c r="AA25" s="132">
        <f t="shared" si="8"/>
        <v>79978.44</v>
      </c>
      <c r="AB25" s="132">
        <f t="shared" si="22"/>
        <v>79978</v>
      </c>
      <c r="AC25" s="232">
        <f>23000/D25/12</f>
        <v>0.5579003541454423</v>
      </c>
      <c r="AD25" s="132">
        <f t="shared" si="9"/>
        <v>0.56</v>
      </c>
      <c r="AE25" s="132">
        <f>AC25*D25*12</f>
        <v>23000.000000000004</v>
      </c>
      <c r="AF25" s="132">
        <f t="shared" si="23"/>
        <v>23000</v>
      </c>
      <c r="AG25" s="167">
        <f>AH248/D25/12</f>
        <v>0</v>
      </c>
      <c r="AH25" s="132">
        <f t="shared" si="24"/>
        <v>0</v>
      </c>
      <c r="AI25" s="130">
        <f t="shared" si="10"/>
        <v>0</v>
      </c>
      <c r="AJ25" s="201">
        <f t="shared" si="25"/>
        <v>0</v>
      </c>
      <c r="AK25" s="287">
        <f>AL248/D25/12</f>
        <v>0</v>
      </c>
      <c r="AL25" s="288">
        <f t="shared" si="26"/>
        <v>0</v>
      </c>
      <c r="AM25" s="289">
        <f t="shared" si="27"/>
        <v>0</v>
      </c>
      <c r="AN25" s="290">
        <f t="shared" si="28"/>
        <v>0</v>
      </c>
      <c r="AO25" s="289">
        <f t="shared" si="29"/>
        <v>0.36384805705137535</v>
      </c>
      <c r="AP25" s="288">
        <f t="shared" si="30"/>
        <v>0.36</v>
      </c>
      <c r="AQ25" s="289">
        <f t="shared" si="31"/>
        <v>14841.36</v>
      </c>
      <c r="AR25" s="290">
        <f t="shared" si="32"/>
        <v>14841</v>
      </c>
      <c r="AS25" s="218">
        <f>AT288/D25/12</f>
        <v>0</v>
      </c>
      <c r="AT25" s="167">
        <f t="shared" si="33"/>
        <v>0</v>
      </c>
      <c r="AU25" s="218">
        <f t="shared" si="50"/>
        <v>0</v>
      </c>
      <c r="AV25" s="218">
        <f t="shared" si="34"/>
        <v>0</v>
      </c>
      <c r="AW25" s="218">
        <f>10000/D25/12</f>
        <v>0.24256537136758358</v>
      </c>
      <c r="AX25" s="167">
        <f t="shared" si="35"/>
        <v>0.24</v>
      </c>
      <c r="AY25" s="218">
        <f t="shared" si="53"/>
        <v>9894.24</v>
      </c>
      <c r="AZ25" s="218">
        <f t="shared" si="13"/>
        <v>9894</v>
      </c>
      <c r="BA25" s="218">
        <f t="shared" si="52"/>
        <v>0</v>
      </c>
      <c r="BB25" s="218">
        <f t="shared" si="36"/>
        <v>0</v>
      </c>
      <c r="BC25" s="218">
        <f t="shared" si="37"/>
        <v>0</v>
      </c>
      <c r="BD25" s="218">
        <f t="shared" si="38"/>
        <v>0</v>
      </c>
      <c r="BE25" s="218">
        <f aca="true" t="shared" si="54" ref="BE25:BE32">6000/D25/12</f>
        <v>0.14553922282055012</v>
      </c>
      <c r="BF25" s="218">
        <f t="shared" si="39"/>
        <v>0.15</v>
      </c>
      <c r="BG25" s="218">
        <f t="shared" si="40"/>
        <v>5999.999999999999</v>
      </c>
      <c r="BH25" s="218">
        <f t="shared" si="41"/>
        <v>6000</v>
      </c>
      <c r="BI25" s="218">
        <v>7.04</v>
      </c>
      <c r="BJ25" s="328">
        <f t="shared" si="42"/>
        <v>7.040000000000002</v>
      </c>
      <c r="BK25" s="370">
        <f t="shared" si="43"/>
        <v>290231.04000000004</v>
      </c>
      <c r="BL25" s="326">
        <f t="shared" si="44"/>
        <v>289960</v>
      </c>
      <c r="BM25" s="281">
        <f t="shared" si="45"/>
        <v>289960</v>
      </c>
      <c r="BO25" s="211"/>
    </row>
    <row r="26" spans="1:67" ht="24.75" customHeight="1">
      <c r="A26" s="205">
        <v>14</v>
      </c>
      <c r="B26" s="126" t="s">
        <v>56</v>
      </c>
      <c r="C26" s="368">
        <v>1683.8</v>
      </c>
      <c r="D26" s="132">
        <v>1683.8</v>
      </c>
      <c r="E26" s="121">
        <f>15000/D26/12</f>
        <v>0.7423684523102506</v>
      </c>
      <c r="F26" s="132">
        <f t="shared" si="15"/>
        <v>0.74</v>
      </c>
      <c r="G26" s="132">
        <f t="shared" si="16"/>
        <v>14952.144</v>
      </c>
      <c r="H26" s="130">
        <f t="shared" si="0"/>
        <v>14952</v>
      </c>
      <c r="I26" s="232">
        <f>15000/D26/12</f>
        <v>0.7423684523102506</v>
      </c>
      <c r="J26" s="132">
        <f t="shared" si="1"/>
        <v>0.74</v>
      </c>
      <c r="K26" s="130">
        <f t="shared" si="2"/>
        <v>14952.144</v>
      </c>
      <c r="L26" s="130">
        <f t="shared" si="17"/>
        <v>14952</v>
      </c>
      <c r="M26" s="232">
        <f>0/D26/12</f>
        <v>0</v>
      </c>
      <c r="N26" s="167">
        <f t="shared" si="46"/>
        <v>0</v>
      </c>
      <c r="O26" s="130">
        <f t="shared" si="3"/>
        <v>0</v>
      </c>
      <c r="P26" s="130">
        <f t="shared" si="18"/>
        <v>0</v>
      </c>
      <c r="Q26" s="232">
        <f t="shared" si="19"/>
        <v>0</v>
      </c>
      <c r="R26" s="132">
        <f t="shared" si="47"/>
        <v>0</v>
      </c>
      <c r="S26" s="131">
        <f t="shared" si="4"/>
        <v>0</v>
      </c>
      <c r="T26" s="131">
        <f t="shared" si="20"/>
        <v>0</v>
      </c>
      <c r="U26" s="232">
        <f>0/D26/12</f>
        <v>0</v>
      </c>
      <c r="V26" s="132">
        <f t="shared" si="5"/>
        <v>0</v>
      </c>
      <c r="W26" s="121">
        <f t="shared" si="6"/>
        <v>0</v>
      </c>
      <c r="X26" s="132">
        <f t="shared" si="21"/>
        <v>0</v>
      </c>
      <c r="Y26" s="232">
        <f>0/D26/12</f>
        <v>0</v>
      </c>
      <c r="Z26" s="132">
        <f t="shared" si="7"/>
        <v>0</v>
      </c>
      <c r="AA26" s="132">
        <f t="shared" si="8"/>
        <v>0</v>
      </c>
      <c r="AB26" s="132">
        <f t="shared" si="22"/>
        <v>0</v>
      </c>
      <c r="AC26" s="232">
        <f t="shared" si="48"/>
        <v>0</v>
      </c>
      <c r="AD26" s="132">
        <f t="shared" si="9"/>
        <v>0</v>
      </c>
      <c r="AE26" s="132">
        <f t="shared" si="49"/>
        <v>0</v>
      </c>
      <c r="AF26" s="132">
        <f t="shared" si="23"/>
        <v>0</v>
      </c>
      <c r="AG26" s="167">
        <f>0/D26/12</f>
        <v>0</v>
      </c>
      <c r="AH26" s="132">
        <f t="shared" si="24"/>
        <v>0</v>
      </c>
      <c r="AI26" s="130">
        <f t="shared" si="10"/>
        <v>0</v>
      </c>
      <c r="AJ26" s="178">
        <f t="shared" si="25"/>
        <v>0</v>
      </c>
      <c r="AK26" s="287">
        <f aca="true" t="shared" si="55" ref="AK26:AK34">0/D26/12</f>
        <v>0</v>
      </c>
      <c r="AL26" s="288">
        <f t="shared" si="26"/>
        <v>0</v>
      </c>
      <c r="AM26" s="289">
        <f t="shared" si="27"/>
        <v>0</v>
      </c>
      <c r="AN26" s="289">
        <f t="shared" si="28"/>
        <v>0</v>
      </c>
      <c r="AO26" s="289">
        <f>8000/D26/12</f>
        <v>0.3959298412321337</v>
      </c>
      <c r="AP26" s="288">
        <f t="shared" si="30"/>
        <v>0.4</v>
      </c>
      <c r="AQ26" s="289">
        <f t="shared" si="31"/>
        <v>8082.24</v>
      </c>
      <c r="AR26" s="289">
        <f t="shared" si="32"/>
        <v>8082</v>
      </c>
      <c r="AS26" s="218">
        <f aca="true" t="shared" si="56" ref="AS26:AS36">0/D26/12</f>
        <v>0</v>
      </c>
      <c r="AT26" s="167">
        <f t="shared" si="33"/>
        <v>0</v>
      </c>
      <c r="AU26" s="218">
        <f t="shared" si="50"/>
        <v>0</v>
      </c>
      <c r="AV26" s="218">
        <f t="shared" si="34"/>
        <v>0</v>
      </c>
      <c r="AW26" s="218">
        <f>0/D26/12</f>
        <v>0</v>
      </c>
      <c r="AX26" s="167">
        <f t="shared" si="35"/>
        <v>0</v>
      </c>
      <c r="AY26" s="218">
        <f t="shared" si="53"/>
        <v>0</v>
      </c>
      <c r="AZ26" s="218">
        <f t="shared" si="13"/>
        <v>0</v>
      </c>
      <c r="BA26" s="218">
        <f>100000/D26/12</f>
        <v>4.949123015401671</v>
      </c>
      <c r="BB26" s="218">
        <f t="shared" si="36"/>
        <v>4.95</v>
      </c>
      <c r="BC26" s="218">
        <f t="shared" si="37"/>
        <v>100017.72</v>
      </c>
      <c r="BD26" s="218">
        <f t="shared" si="38"/>
        <v>100018</v>
      </c>
      <c r="BE26" s="218">
        <f t="shared" si="54"/>
        <v>0.2969473809241003</v>
      </c>
      <c r="BF26" s="218">
        <f t="shared" si="39"/>
        <v>0.3</v>
      </c>
      <c r="BG26" s="218">
        <f t="shared" si="40"/>
        <v>6000.000000000001</v>
      </c>
      <c r="BH26" s="218">
        <f t="shared" si="41"/>
        <v>6000</v>
      </c>
      <c r="BI26" s="218">
        <v>7.13</v>
      </c>
      <c r="BJ26" s="328">
        <f t="shared" si="42"/>
        <v>7.13</v>
      </c>
      <c r="BK26" s="370">
        <f t="shared" si="43"/>
        <v>144065.92799999999</v>
      </c>
      <c r="BL26" s="326">
        <f t="shared" si="44"/>
        <v>144004</v>
      </c>
      <c r="BM26" s="281">
        <f t="shared" si="45"/>
        <v>144004</v>
      </c>
      <c r="BO26" s="211"/>
    </row>
    <row r="27" spans="1:67" ht="24.75" customHeight="1">
      <c r="A27" s="205">
        <v>15</v>
      </c>
      <c r="B27" s="126" t="s">
        <v>57</v>
      </c>
      <c r="C27" s="368">
        <v>3444.4</v>
      </c>
      <c r="D27" s="132">
        <v>3444.4</v>
      </c>
      <c r="E27" s="121">
        <f>20000/D27/12</f>
        <v>0.4838772113188557</v>
      </c>
      <c r="F27" s="132">
        <f t="shared" si="15"/>
        <v>0.48</v>
      </c>
      <c r="G27" s="132">
        <f t="shared" si="16"/>
        <v>19839.744</v>
      </c>
      <c r="H27" s="130">
        <f t="shared" si="0"/>
        <v>19840</v>
      </c>
      <c r="I27" s="232">
        <f>25000/D27/12</f>
        <v>0.6048465141485696</v>
      </c>
      <c r="J27" s="132">
        <f t="shared" si="1"/>
        <v>0.6</v>
      </c>
      <c r="K27" s="130">
        <f t="shared" si="2"/>
        <v>24799.68</v>
      </c>
      <c r="L27" s="130">
        <f t="shared" si="17"/>
        <v>24800</v>
      </c>
      <c r="M27" s="232">
        <f>11000/D27/12</f>
        <v>0.2661324662253706</v>
      </c>
      <c r="N27" s="167">
        <f t="shared" si="46"/>
        <v>0.27</v>
      </c>
      <c r="O27" s="130">
        <f t="shared" si="3"/>
        <v>11159.856</v>
      </c>
      <c r="P27" s="130">
        <f t="shared" si="18"/>
        <v>11160</v>
      </c>
      <c r="Q27" s="232">
        <f>0/D27/12</f>
        <v>0</v>
      </c>
      <c r="R27" s="132">
        <f t="shared" si="47"/>
        <v>0</v>
      </c>
      <c r="S27" s="131">
        <f t="shared" si="4"/>
        <v>0</v>
      </c>
      <c r="T27" s="131">
        <f t="shared" si="20"/>
        <v>0</v>
      </c>
      <c r="U27" s="232">
        <f>95000/D27/12</f>
        <v>2.2984167537645646</v>
      </c>
      <c r="V27" s="132">
        <f t="shared" si="5"/>
        <v>2.3</v>
      </c>
      <c r="W27" s="121">
        <f t="shared" si="6"/>
        <v>95065.44</v>
      </c>
      <c r="X27" s="132">
        <f t="shared" si="21"/>
        <v>95065</v>
      </c>
      <c r="Y27" s="232">
        <f>80000/D27/12</f>
        <v>1.9355088452754228</v>
      </c>
      <c r="Z27" s="132">
        <f t="shared" si="7"/>
        <v>1.94</v>
      </c>
      <c r="AA27" s="132">
        <f t="shared" si="8"/>
        <v>80185.63200000001</v>
      </c>
      <c r="AB27" s="132">
        <f t="shared" si="22"/>
        <v>80186</v>
      </c>
      <c r="AC27" s="232">
        <f t="shared" si="48"/>
        <v>0</v>
      </c>
      <c r="AD27" s="132">
        <f t="shared" si="9"/>
        <v>0</v>
      </c>
      <c r="AE27" s="132">
        <f t="shared" si="49"/>
        <v>0</v>
      </c>
      <c r="AF27" s="132">
        <f t="shared" si="23"/>
        <v>0</v>
      </c>
      <c r="AG27" s="167">
        <f>10000/D27/12</f>
        <v>0.24193860565942785</v>
      </c>
      <c r="AH27" s="132">
        <f t="shared" si="24"/>
        <v>0.24</v>
      </c>
      <c r="AI27" s="130">
        <f t="shared" si="10"/>
        <v>9919.872</v>
      </c>
      <c r="AJ27" s="178">
        <f t="shared" si="25"/>
        <v>9920</v>
      </c>
      <c r="AK27" s="287">
        <f t="shared" si="55"/>
        <v>0</v>
      </c>
      <c r="AL27" s="288">
        <f t="shared" si="26"/>
        <v>0</v>
      </c>
      <c r="AM27" s="289">
        <f t="shared" si="27"/>
        <v>0</v>
      </c>
      <c r="AN27" s="289">
        <f t="shared" si="28"/>
        <v>0</v>
      </c>
      <c r="AO27" s="289">
        <f t="shared" si="29"/>
        <v>0.3629079084891418</v>
      </c>
      <c r="AP27" s="288">
        <f t="shared" si="30"/>
        <v>0.36</v>
      </c>
      <c r="AQ27" s="289">
        <f t="shared" si="31"/>
        <v>14879.807999999999</v>
      </c>
      <c r="AR27" s="289">
        <f t="shared" si="32"/>
        <v>14880</v>
      </c>
      <c r="AS27" s="218">
        <f t="shared" si="56"/>
        <v>0</v>
      </c>
      <c r="AT27" s="167">
        <f t="shared" si="33"/>
        <v>0</v>
      </c>
      <c r="AU27" s="218">
        <f t="shared" si="50"/>
        <v>0</v>
      </c>
      <c r="AV27" s="218">
        <f t="shared" si="34"/>
        <v>0</v>
      </c>
      <c r="AW27" s="218">
        <f>20000/D27/12</f>
        <v>0.4838772113188557</v>
      </c>
      <c r="AX27" s="167">
        <f t="shared" si="35"/>
        <v>0.48</v>
      </c>
      <c r="AY27" s="218">
        <f t="shared" si="53"/>
        <v>19839.744</v>
      </c>
      <c r="AZ27" s="218">
        <f t="shared" si="13"/>
        <v>19840</v>
      </c>
      <c r="BA27" s="218">
        <f t="shared" si="52"/>
        <v>0</v>
      </c>
      <c r="BB27" s="218">
        <f t="shared" si="36"/>
        <v>0</v>
      </c>
      <c r="BC27" s="218">
        <f t="shared" si="37"/>
        <v>0</v>
      </c>
      <c r="BD27" s="218">
        <f t="shared" si="38"/>
        <v>0</v>
      </c>
      <c r="BE27" s="218">
        <f t="shared" si="54"/>
        <v>0.1451631633956567</v>
      </c>
      <c r="BF27" s="218">
        <f t="shared" si="39"/>
        <v>0.15</v>
      </c>
      <c r="BG27" s="218">
        <f t="shared" si="40"/>
        <v>6000</v>
      </c>
      <c r="BH27" s="218">
        <f t="shared" si="41"/>
        <v>6000</v>
      </c>
      <c r="BI27" s="218">
        <v>6.82</v>
      </c>
      <c r="BJ27" s="328">
        <f t="shared" si="42"/>
        <v>6.82</v>
      </c>
      <c r="BK27" s="370">
        <f t="shared" si="43"/>
        <v>281889.696</v>
      </c>
      <c r="BL27" s="326">
        <f t="shared" si="44"/>
        <v>281691</v>
      </c>
      <c r="BM27" s="281">
        <f t="shared" si="45"/>
        <v>281691</v>
      </c>
      <c r="BO27" s="211"/>
    </row>
    <row r="28" spans="1:67" ht="24.75" customHeight="1">
      <c r="A28" s="205">
        <v>16</v>
      </c>
      <c r="B28" s="126" t="s">
        <v>58</v>
      </c>
      <c r="C28" s="368">
        <v>1725.8</v>
      </c>
      <c r="D28" s="132">
        <v>1725.8</v>
      </c>
      <c r="E28" s="121">
        <f>20000/D28/12</f>
        <v>0.9657356974543206</v>
      </c>
      <c r="F28" s="132">
        <f t="shared" si="15"/>
        <v>0.97</v>
      </c>
      <c r="G28" s="132">
        <f t="shared" si="16"/>
        <v>20088.311999999998</v>
      </c>
      <c r="H28" s="130">
        <f t="shared" si="0"/>
        <v>20088</v>
      </c>
      <c r="I28" s="232">
        <f>15000/D28/12</f>
        <v>0.7243017730907405</v>
      </c>
      <c r="J28" s="132">
        <f t="shared" si="1"/>
        <v>0.72</v>
      </c>
      <c r="K28" s="130">
        <f t="shared" si="2"/>
        <v>14910.912</v>
      </c>
      <c r="L28" s="130">
        <f t="shared" si="17"/>
        <v>14911</v>
      </c>
      <c r="M28" s="232">
        <f>0/D28/12</f>
        <v>0</v>
      </c>
      <c r="N28" s="167">
        <f t="shared" si="46"/>
        <v>0</v>
      </c>
      <c r="O28" s="130">
        <f t="shared" si="3"/>
        <v>0</v>
      </c>
      <c r="P28" s="130">
        <f t="shared" si="18"/>
        <v>0</v>
      </c>
      <c r="Q28" s="232">
        <f t="shared" si="19"/>
        <v>0</v>
      </c>
      <c r="R28" s="132">
        <f t="shared" si="47"/>
        <v>0</v>
      </c>
      <c r="S28" s="131">
        <f t="shared" si="4"/>
        <v>0</v>
      </c>
      <c r="T28" s="131">
        <f t="shared" si="20"/>
        <v>0</v>
      </c>
      <c r="U28" s="232">
        <f>0/D28/12</f>
        <v>0</v>
      </c>
      <c r="V28" s="132">
        <f t="shared" si="5"/>
        <v>0</v>
      </c>
      <c r="W28" s="121">
        <f t="shared" si="6"/>
        <v>0</v>
      </c>
      <c r="X28" s="132">
        <f t="shared" si="21"/>
        <v>0</v>
      </c>
      <c r="Y28" s="232">
        <f>75000/D28/12</f>
        <v>3.6215088654537024</v>
      </c>
      <c r="Z28" s="132">
        <f t="shared" si="7"/>
        <v>3.62</v>
      </c>
      <c r="AA28" s="132">
        <f t="shared" si="8"/>
        <v>74968.752</v>
      </c>
      <c r="AB28" s="132">
        <f t="shared" si="22"/>
        <v>74969</v>
      </c>
      <c r="AC28" s="232">
        <f t="shared" si="48"/>
        <v>0</v>
      </c>
      <c r="AD28" s="132">
        <f t="shared" si="9"/>
        <v>0</v>
      </c>
      <c r="AE28" s="132">
        <f t="shared" si="49"/>
        <v>0</v>
      </c>
      <c r="AF28" s="132">
        <f t="shared" si="23"/>
        <v>0</v>
      </c>
      <c r="AG28" s="167">
        <f>0/D28/12</f>
        <v>0</v>
      </c>
      <c r="AH28" s="132">
        <f t="shared" si="24"/>
        <v>0</v>
      </c>
      <c r="AI28" s="130">
        <f t="shared" si="10"/>
        <v>0</v>
      </c>
      <c r="AJ28" s="178">
        <f t="shared" si="25"/>
        <v>0</v>
      </c>
      <c r="AK28" s="287">
        <f t="shared" si="55"/>
        <v>0</v>
      </c>
      <c r="AL28" s="288">
        <f t="shared" si="26"/>
        <v>0</v>
      </c>
      <c r="AM28" s="289">
        <f t="shared" si="27"/>
        <v>0</v>
      </c>
      <c r="AN28" s="289">
        <f t="shared" si="28"/>
        <v>0</v>
      </c>
      <c r="AO28" s="289">
        <f t="shared" si="29"/>
        <v>0.7243017730907405</v>
      </c>
      <c r="AP28" s="288">
        <f t="shared" si="30"/>
        <v>0.72</v>
      </c>
      <c r="AQ28" s="289">
        <f t="shared" si="31"/>
        <v>14910.912</v>
      </c>
      <c r="AR28" s="289">
        <f t="shared" si="32"/>
        <v>14911</v>
      </c>
      <c r="AS28" s="218">
        <f t="shared" si="56"/>
        <v>0</v>
      </c>
      <c r="AT28" s="167">
        <f t="shared" si="33"/>
        <v>0</v>
      </c>
      <c r="AU28" s="218">
        <f t="shared" si="50"/>
        <v>0</v>
      </c>
      <c r="AV28" s="218">
        <f t="shared" si="34"/>
        <v>0</v>
      </c>
      <c r="AW28" s="218">
        <f>15000/D28/12</f>
        <v>0.7243017730907405</v>
      </c>
      <c r="AX28" s="167">
        <f t="shared" si="35"/>
        <v>0.72</v>
      </c>
      <c r="AY28" s="218">
        <f t="shared" si="53"/>
        <v>14910.912</v>
      </c>
      <c r="AZ28" s="218">
        <f t="shared" si="13"/>
        <v>14911</v>
      </c>
      <c r="BA28" s="218">
        <f t="shared" si="52"/>
        <v>0</v>
      </c>
      <c r="BB28" s="218">
        <f t="shared" si="36"/>
        <v>0</v>
      </c>
      <c r="BC28" s="218">
        <f t="shared" si="37"/>
        <v>0</v>
      </c>
      <c r="BD28" s="218">
        <f t="shared" si="38"/>
        <v>0</v>
      </c>
      <c r="BE28" s="218">
        <f t="shared" si="54"/>
        <v>0.2897207092362962</v>
      </c>
      <c r="BF28" s="218">
        <f t="shared" si="39"/>
        <v>0.29</v>
      </c>
      <c r="BG28" s="218">
        <f t="shared" si="40"/>
        <v>6000</v>
      </c>
      <c r="BH28" s="218">
        <f t="shared" si="41"/>
        <v>6000</v>
      </c>
      <c r="BI28" s="218">
        <v>7.04</v>
      </c>
      <c r="BJ28" s="328">
        <f t="shared" si="42"/>
        <v>7.04</v>
      </c>
      <c r="BK28" s="370">
        <f t="shared" si="43"/>
        <v>145795.584</v>
      </c>
      <c r="BL28" s="326">
        <f t="shared" si="44"/>
        <v>145790</v>
      </c>
      <c r="BM28" s="281">
        <f t="shared" si="45"/>
        <v>145790</v>
      </c>
      <c r="BO28" s="211"/>
    </row>
    <row r="29" spans="1:67" ht="24.75" customHeight="1">
      <c r="A29" s="205">
        <v>17</v>
      </c>
      <c r="B29" s="126" t="s">
        <v>59</v>
      </c>
      <c r="C29" s="368">
        <v>3377.7</v>
      </c>
      <c r="D29" s="132">
        <v>3380.7</v>
      </c>
      <c r="E29" s="121">
        <f>25000/D29/12</f>
        <v>0.6162431843503812</v>
      </c>
      <c r="F29" s="132">
        <f t="shared" si="15"/>
        <v>0.62</v>
      </c>
      <c r="G29" s="132">
        <f t="shared" si="16"/>
        <v>25152.407999999996</v>
      </c>
      <c r="H29" s="130">
        <f t="shared" si="0"/>
        <v>25152</v>
      </c>
      <c r="I29" s="232">
        <f>25000/D29/12</f>
        <v>0.6162431843503812</v>
      </c>
      <c r="J29" s="132">
        <f t="shared" si="1"/>
        <v>0.62</v>
      </c>
      <c r="K29" s="130">
        <f t="shared" si="2"/>
        <v>25152.407999999996</v>
      </c>
      <c r="L29" s="130">
        <f t="shared" si="17"/>
        <v>25152</v>
      </c>
      <c r="M29" s="232">
        <f>11000/D29/12</f>
        <v>0.2711470011141677</v>
      </c>
      <c r="N29" s="167">
        <f t="shared" si="46"/>
        <v>0.27</v>
      </c>
      <c r="O29" s="130">
        <f t="shared" si="3"/>
        <v>10953.468</v>
      </c>
      <c r="P29" s="136">
        <f t="shared" si="18"/>
        <v>10953</v>
      </c>
      <c r="Q29" s="232">
        <f t="shared" si="19"/>
        <v>0</v>
      </c>
      <c r="R29" s="132">
        <f t="shared" si="47"/>
        <v>0</v>
      </c>
      <c r="S29" s="131">
        <f t="shared" si="4"/>
        <v>0</v>
      </c>
      <c r="T29" s="131">
        <f t="shared" si="20"/>
        <v>0</v>
      </c>
      <c r="U29" s="232">
        <f>90000/D29/12</f>
        <v>2.218475463661372</v>
      </c>
      <c r="V29" s="132">
        <f t="shared" si="5"/>
        <v>2.22</v>
      </c>
      <c r="W29" s="121">
        <f t="shared" si="6"/>
        <v>90061.848</v>
      </c>
      <c r="X29" s="132">
        <f t="shared" si="21"/>
        <v>90062</v>
      </c>
      <c r="Y29" s="232">
        <f>80000/D29/12</f>
        <v>1.9719781899212194</v>
      </c>
      <c r="Z29" s="132">
        <f t="shared" si="7"/>
        <v>1.97</v>
      </c>
      <c r="AA29" s="132">
        <f t="shared" si="8"/>
        <v>79919.74799999999</v>
      </c>
      <c r="AB29" s="132">
        <f t="shared" si="22"/>
        <v>79920</v>
      </c>
      <c r="AC29" s="232">
        <f t="shared" si="48"/>
        <v>0</v>
      </c>
      <c r="AD29" s="132">
        <f t="shared" si="9"/>
        <v>0</v>
      </c>
      <c r="AE29" s="132">
        <f t="shared" si="49"/>
        <v>0</v>
      </c>
      <c r="AF29" s="132">
        <f t="shared" si="23"/>
        <v>0</v>
      </c>
      <c r="AG29" s="167">
        <f>0/D29/12</f>
        <v>0</v>
      </c>
      <c r="AH29" s="132">
        <f t="shared" si="24"/>
        <v>0</v>
      </c>
      <c r="AI29" s="130">
        <f t="shared" si="10"/>
        <v>0</v>
      </c>
      <c r="AJ29" s="178">
        <f t="shared" si="25"/>
        <v>0</v>
      </c>
      <c r="AK29" s="287">
        <f t="shared" si="55"/>
        <v>0</v>
      </c>
      <c r="AL29" s="288">
        <f t="shared" si="26"/>
        <v>0</v>
      </c>
      <c r="AM29" s="289">
        <f t="shared" si="27"/>
        <v>0</v>
      </c>
      <c r="AN29" s="289">
        <f t="shared" si="28"/>
        <v>0</v>
      </c>
      <c r="AO29" s="289">
        <f t="shared" si="29"/>
        <v>0.3697459106102287</v>
      </c>
      <c r="AP29" s="288">
        <f t="shared" si="30"/>
        <v>0.37</v>
      </c>
      <c r="AQ29" s="289">
        <f t="shared" si="31"/>
        <v>15010.307999999999</v>
      </c>
      <c r="AR29" s="289">
        <f t="shared" si="32"/>
        <v>15010</v>
      </c>
      <c r="AS29" s="218">
        <f t="shared" si="56"/>
        <v>0</v>
      </c>
      <c r="AT29" s="167">
        <f t="shared" si="33"/>
        <v>0</v>
      </c>
      <c r="AU29" s="218">
        <f t="shared" si="50"/>
        <v>0</v>
      </c>
      <c r="AV29" s="218">
        <f t="shared" si="34"/>
        <v>0</v>
      </c>
      <c r="AW29" s="218">
        <f>25000/D29/12</f>
        <v>0.6162431843503812</v>
      </c>
      <c r="AX29" s="167">
        <f t="shared" si="35"/>
        <v>0.62</v>
      </c>
      <c r="AY29" s="218">
        <f t="shared" si="53"/>
        <v>25152.407999999996</v>
      </c>
      <c r="AZ29" s="218">
        <f t="shared" si="13"/>
        <v>25152</v>
      </c>
      <c r="BA29" s="218">
        <f t="shared" si="52"/>
        <v>0</v>
      </c>
      <c r="BB29" s="218">
        <f t="shared" si="36"/>
        <v>0</v>
      </c>
      <c r="BC29" s="218">
        <f t="shared" si="37"/>
        <v>0</v>
      </c>
      <c r="BD29" s="218">
        <f t="shared" si="38"/>
        <v>0</v>
      </c>
      <c r="BE29" s="218">
        <f t="shared" si="54"/>
        <v>0.14789836424409147</v>
      </c>
      <c r="BF29" s="218">
        <f t="shared" si="39"/>
        <v>0.15</v>
      </c>
      <c r="BG29" s="218">
        <f t="shared" si="40"/>
        <v>6000</v>
      </c>
      <c r="BH29" s="218">
        <f t="shared" si="41"/>
        <v>6000</v>
      </c>
      <c r="BI29" s="218">
        <v>6.84</v>
      </c>
      <c r="BJ29" s="328">
        <f t="shared" si="42"/>
        <v>6.840000000000001</v>
      </c>
      <c r="BK29" s="370">
        <f t="shared" si="43"/>
        <v>277241.616</v>
      </c>
      <c r="BL29" s="326">
        <f t="shared" si="44"/>
        <v>277401</v>
      </c>
      <c r="BM29" s="281">
        <f t="shared" si="45"/>
        <v>277401</v>
      </c>
      <c r="BO29" s="211"/>
    </row>
    <row r="30" spans="1:67" ht="24.75" customHeight="1">
      <c r="A30" s="205">
        <v>18</v>
      </c>
      <c r="B30" s="126" t="s">
        <v>60</v>
      </c>
      <c r="C30" s="368">
        <v>3469.7</v>
      </c>
      <c r="D30" s="132">
        <v>3472.8</v>
      </c>
      <c r="E30" s="121">
        <f>25000/D30/12</f>
        <v>0.5999001766106119</v>
      </c>
      <c r="F30" s="132">
        <f t="shared" si="15"/>
        <v>0.6</v>
      </c>
      <c r="G30" s="132">
        <f t="shared" si="16"/>
        <v>25004.159999999996</v>
      </c>
      <c r="H30" s="130">
        <f t="shared" si="0"/>
        <v>25004</v>
      </c>
      <c r="I30" s="232">
        <f>20000/D30/12</f>
        <v>0.47992014128848953</v>
      </c>
      <c r="J30" s="132">
        <f t="shared" si="1"/>
        <v>0.48</v>
      </c>
      <c r="K30" s="130">
        <f>J30*D30*12</f>
        <v>20003.328</v>
      </c>
      <c r="L30" s="130">
        <f t="shared" si="17"/>
        <v>20003</v>
      </c>
      <c r="M30" s="232">
        <f>11000/D30/12</f>
        <v>0.26395607770866925</v>
      </c>
      <c r="N30" s="167">
        <f t="shared" si="46"/>
        <v>0.26</v>
      </c>
      <c r="O30" s="130">
        <f t="shared" si="3"/>
        <v>10835.136000000002</v>
      </c>
      <c r="P30" s="130">
        <f t="shared" si="18"/>
        <v>10835</v>
      </c>
      <c r="Q30" s="232">
        <f t="shared" si="19"/>
        <v>0</v>
      </c>
      <c r="R30" s="132">
        <f t="shared" si="47"/>
        <v>0</v>
      </c>
      <c r="S30" s="131">
        <f t="shared" si="4"/>
        <v>0</v>
      </c>
      <c r="T30" s="131">
        <f t="shared" si="20"/>
        <v>0</v>
      </c>
      <c r="U30" s="232">
        <f>90000/D30/12</f>
        <v>2.159640635798203</v>
      </c>
      <c r="V30" s="132">
        <f t="shared" si="5"/>
        <v>2.16</v>
      </c>
      <c r="W30" s="121">
        <f t="shared" si="6"/>
        <v>90014.97600000001</v>
      </c>
      <c r="X30" s="132">
        <f t="shared" si="21"/>
        <v>90015</v>
      </c>
      <c r="Y30" s="232">
        <f>80000/D30/12</f>
        <v>1.9196805651539581</v>
      </c>
      <c r="Z30" s="132">
        <f t="shared" si="7"/>
        <v>1.92</v>
      </c>
      <c r="AA30" s="132">
        <f t="shared" si="8"/>
        <v>80013.312</v>
      </c>
      <c r="AB30" s="132">
        <f t="shared" si="22"/>
        <v>80013</v>
      </c>
      <c r="AC30" s="232">
        <f t="shared" si="48"/>
        <v>0</v>
      </c>
      <c r="AD30" s="132">
        <f t="shared" si="9"/>
        <v>0</v>
      </c>
      <c r="AE30" s="132">
        <f t="shared" si="49"/>
        <v>0</v>
      </c>
      <c r="AF30" s="132">
        <f t="shared" si="23"/>
        <v>0</v>
      </c>
      <c r="AG30" s="167">
        <f>0/D30/12</f>
        <v>0</v>
      </c>
      <c r="AH30" s="132">
        <f t="shared" si="24"/>
        <v>0</v>
      </c>
      <c r="AI30" s="130">
        <f t="shared" si="10"/>
        <v>0</v>
      </c>
      <c r="AJ30" s="178">
        <f t="shared" si="25"/>
        <v>0</v>
      </c>
      <c r="AK30" s="287">
        <f t="shared" si="55"/>
        <v>0</v>
      </c>
      <c r="AL30" s="288">
        <f t="shared" si="26"/>
        <v>0</v>
      </c>
      <c r="AM30" s="289">
        <f t="shared" si="27"/>
        <v>0</v>
      </c>
      <c r="AN30" s="289">
        <f t="shared" si="28"/>
        <v>0</v>
      </c>
      <c r="AO30" s="289">
        <f t="shared" si="29"/>
        <v>0.35994010596636716</v>
      </c>
      <c r="AP30" s="288">
        <f t="shared" si="30"/>
        <v>0.36</v>
      </c>
      <c r="AQ30" s="289">
        <f t="shared" si="31"/>
        <v>15002.496000000001</v>
      </c>
      <c r="AR30" s="289">
        <f t="shared" si="32"/>
        <v>15002</v>
      </c>
      <c r="AS30" s="218">
        <f t="shared" si="56"/>
        <v>0</v>
      </c>
      <c r="AT30" s="167">
        <f t="shared" si="33"/>
        <v>0</v>
      </c>
      <c r="AU30" s="218">
        <f t="shared" si="50"/>
        <v>0</v>
      </c>
      <c r="AV30" s="218">
        <f t="shared" si="34"/>
        <v>0</v>
      </c>
      <c r="AW30" s="218">
        <f>25000/D30/12</f>
        <v>0.5999001766106119</v>
      </c>
      <c r="AX30" s="167">
        <f t="shared" si="35"/>
        <v>0.6</v>
      </c>
      <c r="AY30" s="218">
        <f t="shared" si="53"/>
        <v>25004.159999999996</v>
      </c>
      <c r="AZ30" s="218">
        <f t="shared" si="13"/>
        <v>25004</v>
      </c>
      <c r="BA30" s="218">
        <f t="shared" si="52"/>
        <v>0</v>
      </c>
      <c r="BB30" s="218">
        <f t="shared" si="36"/>
        <v>0</v>
      </c>
      <c r="BC30" s="218">
        <f t="shared" si="37"/>
        <v>0</v>
      </c>
      <c r="BD30" s="218">
        <f t="shared" si="38"/>
        <v>0</v>
      </c>
      <c r="BE30" s="218">
        <f t="shared" si="54"/>
        <v>0.14397604238654688</v>
      </c>
      <c r="BF30" s="218">
        <f t="shared" si="39"/>
        <v>0.14</v>
      </c>
      <c r="BG30" s="218">
        <f t="shared" si="40"/>
        <v>6000</v>
      </c>
      <c r="BH30" s="218">
        <f t="shared" si="41"/>
        <v>6000</v>
      </c>
      <c r="BI30" s="218">
        <v>6.52</v>
      </c>
      <c r="BJ30" s="328">
        <f t="shared" si="42"/>
        <v>6.52</v>
      </c>
      <c r="BK30" s="370">
        <f t="shared" si="43"/>
        <v>271469.328</v>
      </c>
      <c r="BL30" s="326">
        <f t="shared" si="44"/>
        <v>271876</v>
      </c>
      <c r="BM30" s="281">
        <f t="shared" si="45"/>
        <v>271876</v>
      </c>
      <c r="BO30" s="211"/>
    </row>
    <row r="31" spans="1:67" ht="24.75" customHeight="1">
      <c r="A31" s="207">
        <v>19</v>
      </c>
      <c r="B31" s="126" t="s">
        <v>61</v>
      </c>
      <c r="C31" s="368">
        <v>1708.7</v>
      </c>
      <c r="D31" s="132">
        <v>1708.7</v>
      </c>
      <c r="E31" s="121">
        <f>15000/D31/12</f>
        <v>0.7315503013987241</v>
      </c>
      <c r="F31" s="132">
        <f t="shared" si="15"/>
        <v>0.73</v>
      </c>
      <c r="G31" s="132">
        <f t="shared" si="16"/>
        <v>14968.212000000001</v>
      </c>
      <c r="H31" s="130">
        <f t="shared" si="0"/>
        <v>14968</v>
      </c>
      <c r="I31" s="232">
        <f>20000/D31/12</f>
        <v>0.9754004018649655</v>
      </c>
      <c r="J31" s="130">
        <f aca="true" t="shared" si="57" ref="J31:J37">ROUND(I31,1)</f>
        <v>1</v>
      </c>
      <c r="K31" s="130">
        <f t="shared" si="2"/>
        <v>20504.4</v>
      </c>
      <c r="L31" s="130">
        <f t="shared" si="17"/>
        <v>20504</v>
      </c>
      <c r="M31" s="232">
        <f>0/D31/12</f>
        <v>0</v>
      </c>
      <c r="N31" s="167">
        <f t="shared" si="46"/>
        <v>0</v>
      </c>
      <c r="O31" s="130">
        <f t="shared" si="3"/>
        <v>0</v>
      </c>
      <c r="P31" s="130">
        <f t="shared" si="18"/>
        <v>0</v>
      </c>
      <c r="Q31" s="232">
        <f t="shared" si="19"/>
        <v>0</v>
      </c>
      <c r="R31" s="132">
        <f t="shared" si="47"/>
        <v>0</v>
      </c>
      <c r="S31" s="131">
        <f t="shared" si="4"/>
        <v>0</v>
      </c>
      <c r="T31" s="131">
        <f t="shared" si="20"/>
        <v>0</v>
      </c>
      <c r="U31" s="232">
        <f>0/D31/12</f>
        <v>0</v>
      </c>
      <c r="V31" s="132">
        <f t="shared" si="5"/>
        <v>0</v>
      </c>
      <c r="W31" s="121">
        <f t="shared" si="6"/>
        <v>0</v>
      </c>
      <c r="X31" s="132">
        <f t="shared" si="21"/>
        <v>0</v>
      </c>
      <c r="Y31" s="232">
        <f>80000/D31/12</f>
        <v>3.901601607459862</v>
      </c>
      <c r="Z31" s="132">
        <f t="shared" si="7"/>
        <v>3.9</v>
      </c>
      <c r="AA31" s="132">
        <f t="shared" si="8"/>
        <v>79967.16</v>
      </c>
      <c r="AB31" s="132">
        <f t="shared" si="22"/>
        <v>79967</v>
      </c>
      <c r="AC31" s="232">
        <f t="shared" si="48"/>
        <v>0</v>
      </c>
      <c r="AD31" s="132">
        <f t="shared" si="9"/>
        <v>0</v>
      </c>
      <c r="AE31" s="132">
        <f t="shared" si="49"/>
        <v>0</v>
      </c>
      <c r="AF31" s="132">
        <f t="shared" si="23"/>
        <v>0</v>
      </c>
      <c r="AG31" s="167">
        <f>0/D31/12</f>
        <v>0</v>
      </c>
      <c r="AH31" s="132">
        <f t="shared" si="24"/>
        <v>0</v>
      </c>
      <c r="AI31" s="130">
        <f t="shared" si="10"/>
        <v>0</v>
      </c>
      <c r="AJ31" s="178">
        <f t="shared" si="25"/>
        <v>0</v>
      </c>
      <c r="AK31" s="287">
        <f t="shared" si="55"/>
        <v>0</v>
      </c>
      <c r="AL31" s="288">
        <f t="shared" si="26"/>
        <v>0</v>
      </c>
      <c r="AM31" s="289">
        <f t="shared" si="27"/>
        <v>0</v>
      </c>
      <c r="AN31" s="289">
        <f t="shared" si="28"/>
        <v>0</v>
      </c>
      <c r="AO31" s="289">
        <f t="shared" si="29"/>
        <v>0.7315503013987241</v>
      </c>
      <c r="AP31" s="288">
        <f t="shared" si="30"/>
        <v>0.73</v>
      </c>
      <c r="AQ31" s="289">
        <f t="shared" si="31"/>
        <v>14968.212000000001</v>
      </c>
      <c r="AR31" s="289">
        <f t="shared" si="32"/>
        <v>14968</v>
      </c>
      <c r="AS31" s="218">
        <f t="shared" si="56"/>
        <v>0</v>
      </c>
      <c r="AT31" s="167">
        <f t="shared" si="33"/>
        <v>0</v>
      </c>
      <c r="AU31" s="218">
        <f t="shared" si="50"/>
        <v>0</v>
      </c>
      <c r="AV31" s="218">
        <f t="shared" si="34"/>
        <v>0</v>
      </c>
      <c r="AW31" s="218">
        <f>8000/D31/12</f>
        <v>0.3901601607459862</v>
      </c>
      <c r="AX31" s="167">
        <f t="shared" si="35"/>
        <v>0.39</v>
      </c>
      <c r="AY31" s="218">
        <f t="shared" si="53"/>
        <v>7996.716</v>
      </c>
      <c r="AZ31" s="218">
        <f t="shared" si="13"/>
        <v>7997</v>
      </c>
      <c r="BA31" s="218">
        <f t="shared" si="52"/>
        <v>0</v>
      </c>
      <c r="BB31" s="218">
        <f t="shared" si="36"/>
        <v>0</v>
      </c>
      <c r="BC31" s="218">
        <f t="shared" si="37"/>
        <v>0</v>
      </c>
      <c r="BD31" s="218">
        <f t="shared" si="38"/>
        <v>0</v>
      </c>
      <c r="BE31" s="218">
        <f t="shared" si="54"/>
        <v>0.29262012055948966</v>
      </c>
      <c r="BF31" s="218">
        <f t="shared" si="39"/>
        <v>0.29</v>
      </c>
      <c r="BG31" s="218">
        <f t="shared" si="40"/>
        <v>6000</v>
      </c>
      <c r="BH31" s="218">
        <f t="shared" si="41"/>
        <v>6000</v>
      </c>
      <c r="BI31" s="218">
        <v>7.04</v>
      </c>
      <c r="BJ31" s="328">
        <f t="shared" si="42"/>
        <v>7.039999999999999</v>
      </c>
      <c r="BK31" s="370">
        <f t="shared" si="43"/>
        <v>144350.976</v>
      </c>
      <c r="BL31" s="326">
        <f t="shared" si="44"/>
        <v>144404</v>
      </c>
      <c r="BM31" s="281">
        <f t="shared" si="45"/>
        <v>144404</v>
      </c>
      <c r="BO31" s="211"/>
    </row>
    <row r="32" spans="1:67" ht="24.75" customHeight="1">
      <c r="A32" s="207">
        <v>20</v>
      </c>
      <c r="B32" s="126" t="s">
        <v>64</v>
      </c>
      <c r="C32" s="368">
        <v>5790</v>
      </c>
      <c r="D32" s="132">
        <v>5790</v>
      </c>
      <c r="E32" s="121">
        <f>0/D32/12</f>
        <v>0</v>
      </c>
      <c r="F32" s="132">
        <f t="shared" si="15"/>
        <v>0</v>
      </c>
      <c r="G32" s="132">
        <f t="shared" si="16"/>
        <v>0</v>
      </c>
      <c r="H32" s="130">
        <f t="shared" si="0"/>
        <v>0</v>
      </c>
      <c r="I32" s="232">
        <f>40000/D32/12</f>
        <v>0.5757052389176741</v>
      </c>
      <c r="J32" s="130">
        <f t="shared" si="57"/>
        <v>0.6</v>
      </c>
      <c r="K32" s="130">
        <f t="shared" si="2"/>
        <v>41688</v>
      </c>
      <c r="L32" s="130">
        <f t="shared" si="17"/>
        <v>41688</v>
      </c>
      <c r="M32" s="232">
        <f>10000/D32/12</f>
        <v>0.14392630972941853</v>
      </c>
      <c r="N32" s="167">
        <f t="shared" si="46"/>
        <v>0.14</v>
      </c>
      <c r="O32" s="130">
        <f t="shared" si="3"/>
        <v>9727.2</v>
      </c>
      <c r="P32" s="130">
        <f t="shared" si="18"/>
        <v>9727</v>
      </c>
      <c r="Q32" s="232">
        <f t="shared" si="19"/>
        <v>0</v>
      </c>
      <c r="R32" s="132">
        <f t="shared" si="47"/>
        <v>0</v>
      </c>
      <c r="S32" s="131">
        <f t="shared" si="4"/>
        <v>0</v>
      </c>
      <c r="T32" s="131">
        <f t="shared" si="20"/>
        <v>0</v>
      </c>
      <c r="U32" s="232">
        <f>165000/D32/12</f>
        <v>2.374784110535406</v>
      </c>
      <c r="V32" s="132">
        <f t="shared" si="5"/>
        <v>2.37</v>
      </c>
      <c r="W32" s="121">
        <f t="shared" si="6"/>
        <v>164667.6</v>
      </c>
      <c r="X32" s="132">
        <f t="shared" si="21"/>
        <v>164668</v>
      </c>
      <c r="Y32" s="232">
        <f>0/D32/12</f>
        <v>0</v>
      </c>
      <c r="Z32" s="132">
        <f t="shared" si="7"/>
        <v>0</v>
      </c>
      <c r="AA32" s="132">
        <f t="shared" si="8"/>
        <v>0</v>
      </c>
      <c r="AB32" s="132">
        <f t="shared" si="22"/>
        <v>0</v>
      </c>
      <c r="AC32" s="232">
        <f>174000/D32/12</f>
        <v>2.5043177892918824</v>
      </c>
      <c r="AD32" s="132">
        <f t="shared" si="9"/>
        <v>2.5</v>
      </c>
      <c r="AE32" s="132">
        <f>AC32*D32*12</f>
        <v>174000</v>
      </c>
      <c r="AF32" s="132">
        <f t="shared" si="23"/>
        <v>174000</v>
      </c>
      <c r="AG32" s="167">
        <f>0/D32/12</f>
        <v>0</v>
      </c>
      <c r="AH32" s="132">
        <f t="shared" si="24"/>
        <v>0</v>
      </c>
      <c r="AI32" s="130">
        <f t="shared" si="10"/>
        <v>0</v>
      </c>
      <c r="AJ32" s="178">
        <f t="shared" si="25"/>
        <v>0</v>
      </c>
      <c r="AK32" s="287">
        <f t="shared" si="55"/>
        <v>0</v>
      </c>
      <c r="AL32" s="288">
        <f t="shared" si="26"/>
        <v>0</v>
      </c>
      <c r="AM32" s="289">
        <f t="shared" si="27"/>
        <v>0</v>
      </c>
      <c r="AN32" s="289">
        <f t="shared" si="28"/>
        <v>0</v>
      </c>
      <c r="AO32" s="289">
        <f t="shared" si="29"/>
        <v>0.2158894645941278</v>
      </c>
      <c r="AP32" s="288">
        <f t="shared" si="30"/>
        <v>0.22</v>
      </c>
      <c r="AQ32" s="289">
        <f t="shared" si="31"/>
        <v>15285.599999999999</v>
      </c>
      <c r="AR32" s="289">
        <f t="shared" si="32"/>
        <v>15286</v>
      </c>
      <c r="AS32" s="218">
        <f t="shared" si="56"/>
        <v>0</v>
      </c>
      <c r="AT32" s="167">
        <f t="shared" si="33"/>
        <v>0</v>
      </c>
      <c r="AU32" s="218">
        <f t="shared" si="50"/>
        <v>0</v>
      </c>
      <c r="AV32" s="218">
        <f t="shared" si="34"/>
        <v>0</v>
      </c>
      <c r="AW32" s="218">
        <f>30000/D32/12</f>
        <v>0.4317789291882556</v>
      </c>
      <c r="AX32" s="167">
        <f t="shared" si="35"/>
        <v>0.43</v>
      </c>
      <c r="AY32" s="218">
        <f t="shared" si="53"/>
        <v>29876.399999999998</v>
      </c>
      <c r="AZ32" s="218">
        <f t="shared" si="13"/>
        <v>29876</v>
      </c>
      <c r="BA32" s="218">
        <f t="shared" si="52"/>
        <v>0</v>
      </c>
      <c r="BB32" s="218">
        <f t="shared" si="36"/>
        <v>0</v>
      </c>
      <c r="BC32" s="218">
        <f t="shared" si="37"/>
        <v>0</v>
      </c>
      <c r="BD32" s="218">
        <f t="shared" si="38"/>
        <v>0</v>
      </c>
      <c r="BE32" s="218">
        <f t="shared" si="54"/>
        <v>0.08635578583765112</v>
      </c>
      <c r="BF32" s="218">
        <f t="shared" si="39"/>
        <v>0.09</v>
      </c>
      <c r="BG32" s="218">
        <f t="shared" si="40"/>
        <v>6000</v>
      </c>
      <c r="BH32" s="218">
        <f t="shared" si="41"/>
        <v>6000</v>
      </c>
      <c r="BI32" s="218">
        <v>6.35</v>
      </c>
      <c r="BJ32" s="328">
        <f t="shared" si="42"/>
        <v>6.35</v>
      </c>
      <c r="BK32" s="370">
        <f t="shared" si="43"/>
        <v>441198</v>
      </c>
      <c r="BL32" s="326">
        <f t="shared" si="44"/>
        <v>441245</v>
      </c>
      <c r="BM32" s="281">
        <f t="shared" si="45"/>
        <v>441245</v>
      </c>
      <c r="BO32" s="211"/>
    </row>
    <row r="33" spans="1:67" ht="24.75" customHeight="1">
      <c r="A33" s="207">
        <v>21</v>
      </c>
      <c r="B33" s="127" t="s">
        <v>65</v>
      </c>
      <c r="C33" s="367">
        <v>3855</v>
      </c>
      <c r="D33" s="132">
        <v>3855</v>
      </c>
      <c r="E33" s="121">
        <f>0/D33/12</f>
        <v>0</v>
      </c>
      <c r="F33" s="132">
        <f t="shared" si="15"/>
        <v>0</v>
      </c>
      <c r="G33" s="132">
        <f t="shared" si="16"/>
        <v>0</v>
      </c>
      <c r="H33" s="130">
        <f t="shared" si="0"/>
        <v>0</v>
      </c>
      <c r="I33" s="232">
        <f>10000/D33/12</f>
        <v>0.21616947686986598</v>
      </c>
      <c r="J33" s="130">
        <f t="shared" si="57"/>
        <v>0.2</v>
      </c>
      <c r="K33" s="130">
        <f t="shared" si="2"/>
        <v>9252</v>
      </c>
      <c r="L33" s="130">
        <f t="shared" si="17"/>
        <v>9252</v>
      </c>
      <c r="M33" s="232">
        <f>0/D33/12</f>
        <v>0</v>
      </c>
      <c r="N33" s="167">
        <f t="shared" si="46"/>
        <v>0</v>
      </c>
      <c r="O33" s="130">
        <f t="shared" si="3"/>
        <v>0</v>
      </c>
      <c r="P33" s="130">
        <f t="shared" si="18"/>
        <v>0</v>
      </c>
      <c r="Q33" s="232">
        <f t="shared" si="19"/>
        <v>0</v>
      </c>
      <c r="R33" s="132">
        <f t="shared" si="47"/>
        <v>0</v>
      </c>
      <c r="S33" s="131">
        <f t="shared" si="4"/>
        <v>0</v>
      </c>
      <c r="T33" s="131">
        <f t="shared" si="20"/>
        <v>0</v>
      </c>
      <c r="U33" s="232">
        <f>0/D33/12</f>
        <v>0</v>
      </c>
      <c r="V33" s="132">
        <f t="shared" si="5"/>
        <v>0</v>
      </c>
      <c r="W33" s="121">
        <f t="shared" si="6"/>
        <v>0</v>
      </c>
      <c r="X33" s="132">
        <f t="shared" si="21"/>
        <v>0</v>
      </c>
      <c r="Y33" s="232">
        <f>0/D33/12</f>
        <v>0</v>
      </c>
      <c r="Z33" s="132">
        <f t="shared" si="7"/>
        <v>0</v>
      </c>
      <c r="AA33" s="132">
        <f t="shared" si="8"/>
        <v>0</v>
      </c>
      <c r="AB33" s="132">
        <f t="shared" si="22"/>
        <v>0</v>
      </c>
      <c r="AC33" s="232">
        <f>0/D33/12</f>
        <v>0</v>
      </c>
      <c r="AD33" s="132">
        <f t="shared" si="9"/>
        <v>0</v>
      </c>
      <c r="AE33" s="132">
        <f t="shared" si="49"/>
        <v>0</v>
      </c>
      <c r="AF33" s="132">
        <f t="shared" si="23"/>
        <v>0</v>
      </c>
      <c r="AG33" s="167">
        <f>16000/D33/12</f>
        <v>0.3458711629917856</v>
      </c>
      <c r="AH33" s="132">
        <f t="shared" si="24"/>
        <v>0.35</v>
      </c>
      <c r="AI33" s="130">
        <f t="shared" si="10"/>
        <v>16191</v>
      </c>
      <c r="AJ33" s="178">
        <f t="shared" si="25"/>
        <v>16191</v>
      </c>
      <c r="AK33" s="287">
        <f t="shared" si="55"/>
        <v>0</v>
      </c>
      <c r="AL33" s="288">
        <f t="shared" si="26"/>
        <v>0</v>
      </c>
      <c r="AM33" s="289">
        <f t="shared" si="27"/>
        <v>0</v>
      </c>
      <c r="AN33" s="289">
        <f t="shared" si="28"/>
        <v>0</v>
      </c>
      <c r="AO33" s="289">
        <f t="shared" si="29"/>
        <v>0.324254215304799</v>
      </c>
      <c r="AP33" s="288">
        <f t="shared" si="30"/>
        <v>0.32</v>
      </c>
      <c r="AQ33" s="289">
        <f t="shared" si="31"/>
        <v>14803.2</v>
      </c>
      <c r="AR33" s="289">
        <f t="shared" si="32"/>
        <v>14803</v>
      </c>
      <c r="AS33" s="218">
        <f t="shared" si="56"/>
        <v>0</v>
      </c>
      <c r="AT33" s="167">
        <f t="shared" si="33"/>
        <v>0</v>
      </c>
      <c r="AU33" s="218">
        <f t="shared" si="50"/>
        <v>0</v>
      </c>
      <c r="AV33" s="218">
        <f t="shared" si="34"/>
        <v>0</v>
      </c>
      <c r="AW33" s="218">
        <f>35000/D33/12</f>
        <v>0.7565931690445309</v>
      </c>
      <c r="AX33" s="167">
        <f t="shared" si="35"/>
        <v>0.76</v>
      </c>
      <c r="AY33" s="218">
        <f t="shared" si="53"/>
        <v>35157.600000000006</v>
      </c>
      <c r="AZ33" s="218">
        <f t="shared" si="13"/>
        <v>35158</v>
      </c>
      <c r="BA33" s="218">
        <f>180000/D33/12</f>
        <v>3.8910505836575875</v>
      </c>
      <c r="BB33" s="218">
        <f t="shared" si="36"/>
        <v>3.89</v>
      </c>
      <c r="BC33" s="218">
        <f t="shared" si="37"/>
        <v>179951.40000000002</v>
      </c>
      <c r="BD33" s="218">
        <f t="shared" si="38"/>
        <v>179951</v>
      </c>
      <c r="BE33" s="218">
        <f>6000/D33/12</f>
        <v>0.1297016861219196</v>
      </c>
      <c r="BF33" s="218">
        <f t="shared" si="39"/>
        <v>0.13</v>
      </c>
      <c r="BG33" s="218">
        <f t="shared" si="40"/>
        <v>6000.000000000001</v>
      </c>
      <c r="BH33" s="218">
        <f t="shared" si="41"/>
        <v>6000</v>
      </c>
      <c r="BI33" s="218">
        <v>5.65</v>
      </c>
      <c r="BJ33" s="328">
        <f t="shared" si="42"/>
        <v>5.65</v>
      </c>
      <c r="BK33" s="370">
        <f t="shared" si="43"/>
        <v>261369</v>
      </c>
      <c r="BL33" s="326">
        <f t="shared" si="44"/>
        <v>261355</v>
      </c>
      <c r="BM33" s="281">
        <f t="shared" si="45"/>
        <v>261355</v>
      </c>
      <c r="BO33" s="211"/>
    </row>
    <row r="34" spans="1:67" ht="24.75" customHeight="1">
      <c r="A34" s="207">
        <v>22</v>
      </c>
      <c r="B34" s="126" t="s">
        <v>66</v>
      </c>
      <c r="C34" s="368">
        <v>5855.2</v>
      </c>
      <c r="D34" s="132">
        <v>5853.2</v>
      </c>
      <c r="E34" s="121">
        <f>0/D34/12</f>
        <v>0</v>
      </c>
      <c r="F34" s="132">
        <f t="shared" si="15"/>
        <v>0</v>
      </c>
      <c r="G34" s="132">
        <f t="shared" si="16"/>
        <v>0</v>
      </c>
      <c r="H34" s="130">
        <f t="shared" si="0"/>
        <v>0</v>
      </c>
      <c r="I34" s="232">
        <f>0/D34/12</f>
        <v>0</v>
      </c>
      <c r="J34" s="130">
        <f t="shared" si="57"/>
        <v>0</v>
      </c>
      <c r="K34" s="130">
        <f t="shared" si="2"/>
        <v>0</v>
      </c>
      <c r="L34" s="130">
        <f t="shared" si="17"/>
        <v>0</v>
      </c>
      <c r="M34" s="232">
        <f>10000/D34/12</f>
        <v>0.1423722636050935</v>
      </c>
      <c r="N34" s="167">
        <f t="shared" si="46"/>
        <v>0.14</v>
      </c>
      <c r="O34" s="130">
        <f t="shared" si="3"/>
        <v>9833.376</v>
      </c>
      <c r="P34" s="130">
        <f t="shared" si="18"/>
        <v>9833</v>
      </c>
      <c r="Q34" s="232">
        <f t="shared" si="19"/>
        <v>0</v>
      </c>
      <c r="R34" s="132">
        <f t="shared" si="47"/>
        <v>0</v>
      </c>
      <c r="S34" s="131">
        <f t="shared" si="4"/>
        <v>0</v>
      </c>
      <c r="T34" s="131">
        <f t="shared" si="20"/>
        <v>0</v>
      </c>
      <c r="U34" s="232">
        <f>145000/D34/12</f>
        <v>2.064397822273856</v>
      </c>
      <c r="V34" s="132">
        <f t="shared" si="5"/>
        <v>2.06</v>
      </c>
      <c r="W34" s="121">
        <f t="shared" si="6"/>
        <v>144691.104</v>
      </c>
      <c r="X34" s="132">
        <f t="shared" si="21"/>
        <v>144691</v>
      </c>
      <c r="Y34" s="232">
        <f>120000/D34/12</f>
        <v>1.7084671632611224</v>
      </c>
      <c r="Z34" s="132">
        <f t="shared" si="7"/>
        <v>1.71</v>
      </c>
      <c r="AA34" s="132">
        <f t="shared" si="8"/>
        <v>120107.66399999999</v>
      </c>
      <c r="AB34" s="132">
        <f t="shared" si="22"/>
        <v>120108</v>
      </c>
      <c r="AC34" s="232">
        <f>134000/D34/12</f>
        <v>1.907788332308253</v>
      </c>
      <c r="AD34" s="132">
        <f t="shared" si="9"/>
        <v>1.91</v>
      </c>
      <c r="AE34" s="132">
        <f>AC34*D34*12</f>
        <v>134000</v>
      </c>
      <c r="AF34" s="132">
        <f t="shared" si="23"/>
        <v>134000</v>
      </c>
      <c r="AG34" s="167">
        <f>10000/D34/12</f>
        <v>0.1423722636050935</v>
      </c>
      <c r="AH34" s="132">
        <f t="shared" si="24"/>
        <v>0.14</v>
      </c>
      <c r="AI34" s="130">
        <f t="shared" si="10"/>
        <v>9833.376</v>
      </c>
      <c r="AJ34" s="178">
        <f t="shared" si="25"/>
        <v>9833</v>
      </c>
      <c r="AK34" s="287">
        <f t="shared" si="55"/>
        <v>0</v>
      </c>
      <c r="AL34" s="288">
        <f t="shared" si="26"/>
        <v>0</v>
      </c>
      <c r="AM34" s="289">
        <f t="shared" si="27"/>
        <v>0</v>
      </c>
      <c r="AN34" s="289">
        <f t="shared" si="28"/>
        <v>0</v>
      </c>
      <c r="AO34" s="289">
        <f t="shared" si="29"/>
        <v>0.2135583954076403</v>
      </c>
      <c r="AP34" s="288">
        <f t="shared" si="30"/>
        <v>0.21</v>
      </c>
      <c r="AQ34" s="289">
        <f t="shared" si="31"/>
        <v>14750.064</v>
      </c>
      <c r="AR34" s="289">
        <f t="shared" si="32"/>
        <v>14750</v>
      </c>
      <c r="AS34" s="218">
        <f t="shared" si="56"/>
        <v>0</v>
      </c>
      <c r="AT34" s="167">
        <f t="shared" si="33"/>
        <v>0</v>
      </c>
      <c r="AU34" s="218">
        <f t="shared" si="50"/>
        <v>0</v>
      </c>
      <c r="AV34" s="218">
        <f t="shared" si="34"/>
        <v>0</v>
      </c>
      <c r="AW34" s="218">
        <f>30000/D34/12</f>
        <v>0.4271167908152806</v>
      </c>
      <c r="AX34" s="167">
        <f t="shared" si="35"/>
        <v>0.43</v>
      </c>
      <c r="AY34" s="218">
        <f t="shared" si="53"/>
        <v>30202.511999999995</v>
      </c>
      <c r="AZ34" s="218">
        <f t="shared" si="13"/>
        <v>30203</v>
      </c>
      <c r="BA34" s="218">
        <f>0/D34/12</f>
        <v>0</v>
      </c>
      <c r="BB34" s="218">
        <f t="shared" si="36"/>
        <v>0</v>
      </c>
      <c r="BC34" s="218">
        <f t="shared" si="37"/>
        <v>0</v>
      </c>
      <c r="BD34" s="218">
        <f t="shared" si="38"/>
        <v>0</v>
      </c>
      <c r="BE34" s="218">
        <f>6000/D34/12</f>
        <v>0.08542335816305612</v>
      </c>
      <c r="BF34" s="218">
        <f t="shared" si="39"/>
        <v>0.09</v>
      </c>
      <c r="BG34" s="218">
        <f t="shared" si="40"/>
        <v>6000.000000000001</v>
      </c>
      <c r="BH34" s="218">
        <f t="shared" si="41"/>
        <v>6000</v>
      </c>
      <c r="BI34" s="218">
        <v>6.69</v>
      </c>
      <c r="BJ34" s="328">
        <f t="shared" si="42"/>
        <v>6.6899999999999995</v>
      </c>
      <c r="BK34" s="370">
        <f t="shared" si="43"/>
        <v>470055.456</v>
      </c>
      <c r="BL34" s="326">
        <f t="shared" si="44"/>
        <v>469418</v>
      </c>
      <c r="BM34" s="281">
        <f t="shared" si="45"/>
        <v>469418</v>
      </c>
      <c r="BO34" s="211"/>
    </row>
    <row r="35" spans="1:67" ht="24.75" customHeight="1">
      <c r="A35" s="207">
        <v>23</v>
      </c>
      <c r="B35" s="126" t="s">
        <v>67</v>
      </c>
      <c r="C35" s="368">
        <v>3852.92</v>
      </c>
      <c r="D35" s="132">
        <v>3852.92</v>
      </c>
      <c r="E35" s="121">
        <f>25000/D35/12</f>
        <v>0.5407154400645052</v>
      </c>
      <c r="F35" s="132">
        <f t="shared" si="15"/>
        <v>0.54</v>
      </c>
      <c r="G35" s="132">
        <f t="shared" si="16"/>
        <v>24966.9216</v>
      </c>
      <c r="H35" s="130">
        <f t="shared" si="0"/>
        <v>24967</v>
      </c>
      <c r="I35" s="232">
        <f>0/D35/12</f>
        <v>0</v>
      </c>
      <c r="J35" s="130">
        <f t="shared" si="57"/>
        <v>0</v>
      </c>
      <c r="K35" s="130">
        <f t="shared" si="2"/>
        <v>0</v>
      </c>
      <c r="L35" s="130">
        <f t="shared" si="17"/>
        <v>0</v>
      </c>
      <c r="M35" s="232">
        <f>0/D35/12</f>
        <v>0</v>
      </c>
      <c r="N35" s="167">
        <f t="shared" si="46"/>
        <v>0</v>
      </c>
      <c r="O35" s="130">
        <f t="shared" si="3"/>
        <v>0</v>
      </c>
      <c r="P35" s="130">
        <f t="shared" si="18"/>
        <v>0</v>
      </c>
      <c r="Q35" s="232">
        <f>20000/D35/12</f>
        <v>0.4325723520516041</v>
      </c>
      <c r="R35" s="132">
        <f t="shared" si="47"/>
        <v>0.43</v>
      </c>
      <c r="S35" s="131">
        <f t="shared" si="4"/>
        <v>19881.067199999998</v>
      </c>
      <c r="T35" s="131">
        <f t="shared" si="20"/>
        <v>19881</v>
      </c>
      <c r="U35" s="232">
        <f>0/D35/12</f>
        <v>0</v>
      </c>
      <c r="V35" s="132">
        <f t="shared" si="5"/>
        <v>0</v>
      </c>
      <c r="W35" s="121">
        <f t="shared" si="6"/>
        <v>0</v>
      </c>
      <c r="X35" s="132">
        <f t="shared" si="21"/>
        <v>0</v>
      </c>
      <c r="Y35" s="232">
        <f>0/D35/12</f>
        <v>0</v>
      </c>
      <c r="Z35" s="132">
        <f t="shared" si="7"/>
        <v>0</v>
      </c>
      <c r="AA35" s="132">
        <f t="shared" si="8"/>
        <v>0</v>
      </c>
      <c r="AB35" s="132">
        <f t="shared" si="22"/>
        <v>0</v>
      </c>
      <c r="AC35" s="232">
        <f>46000/D35/12</f>
        <v>0.9949164097186896</v>
      </c>
      <c r="AD35" s="132">
        <f t="shared" si="9"/>
        <v>0.99</v>
      </c>
      <c r="AE35" s="132">
        <f t="shared" si="49"/>
        <v>296607.95999999996</v>
      </c>
      <c r="AF35" s="132">
        <f>AC35*D35*12</f>
        <v>46000</v>
      </c>
      <c r="AG35" s="167">
        <f>0/D35/12</f>
        <v>0</v>
      </c>
      <c r="AH35" s="132">
        <f t="shared" si="24"/>
        <v>0</v>
      </c>
      <c r="AI35" s="130">
        <f t="shared" si="10"/>
        <v>0</v>
      </c>
      <c r="AJ35" s="178">
        <f t="shared" si="25"/>
        <v>0</v>
      </c>
      <c r="AK35" s="287">
        <f>8000/D35/12</f>
        <v>0.17302894082064166</v>
      </c>
      <c r="AL35" s="288">
        <f t="shared" si="26"/>
        <v>0.17</v>
      </c>
      <c r="AM35" s="289">
        <f t="shared" si="27"/>
        <v>7859.956800000002</v>
      </c>
      <c r="AN35" s="289">
        <f t="shared" si="28"/>
        <v>7860</v>
      </c>
      <c r="AO35" s="289">
        <f t="shared" si="29"/>
        <v>0.3244292640387031</v>
      </c>
      <c r="AP35" s="288">
        <f t="shared" si="30"/>
        <v>0.32</v>
      </c>
      <c r="AQ35" s="289">
        <f t="shared" si="31"/>
        <v>14795.212800000001</v>
      </c>
      <c r="AR35" s="289">
        <f t="shared" si="32"/>
        <v>14795</v>
      </c>
      <c r="AS35" s="218">
        <f t="shared" si="56"/>
        <v>0</v>
      </c>
      <c r="AT35" s="167">
        <f t="shared" si="33"/>
        <v>0</v>
      </c>
      <c r="AU35" s="218">
        <f t="shared" si="50"/>
        <v>0</v>
      </c>
      <c r="AV35" s="218">
        <f t="shared" si="34"/>
        <v>0</v>
      </c>
      <c r="AW35" s="218">
        <f>25000/D35/12</f>
        <v>0.5407154400645052</v>
      </c>
      <c r="AX35" s="167">
        <f t="shared" si="35"/>
        <v>0.54</v>
      </c>
      <c r="AY35" s="218">
        <f t="shared" si="53"/>
        <v>24966.9216</v>
      </c>
      <c r="AZ35" s="218">
        <f t="shared" si="13"/>
        <v>24967</v>
      </c>
      <c r="BA35" s="218">
        <f>170000/D35/12</f>
        <v>3.676864992438635</v>
      </c>
      <c r="BB35" s="218">
        <f t="shared" si="36"/>
        <v>3.68</v>
      </c>
      <c r="BC35" s="218">
        <f t="shared" si="37"/>
        <v>170144.9472</v>
      </c>
      <c r="BD35" s="218">
        <f t="shared" si="38"/>
        <v>170145</v>
      </c>
      <c r="BE35" s="218">
        <f>6000/D35/12</f>
        <v>0.12977170561548124</v>
      </c>
      <c r="BF35" s="218">
        <f t="shared" si="39"/>
        <v>0.13</v>
      </c>
      <c r="BG35" s="218">
        <f t="shared" si="40"/>
        <v>6000</v>
      </c>
      <c r="BH35" s="218">
        <f t="shared" si="41"/>
        <v>6000</v>
      </c>
      <c r="BI35" s="218">
        <v>6.8</v>
      </c>
      <c r="BJ35" s="328">
        <f t="shared" si="42"/>
        <v>6.8</v>
      </c>
      <c r="BK35" s="370">
        <f t="shared" si="43"/>
        <v>314398.272</v>
      </c>
      <c r="BL35" s="326">
        <f t="shared" si="44"/>
        <v>314615</v>
      </c>
      <c r="BM35" s="281">
        <f t="shared" si="45"/>
        <v>314615</v>
      </c>
      <c r="BO35" s="211"/>
    </row>
    <row r="36" spans="1:67" ht="24.75" customHeight="1">
      <c r="A36" s="207">
        <v>24</v>
      </c>
      <c r="B36" s="126" t="s">
        <v>68</v>
      </c>
      <c r="C36" s="368">
        <v>5852.5</v>
      </c>
      <c r="D36" s="132">
        <v>5852.5</v>
      </c>
      <c r="E36" s="121">
        <f>45000/D36/12</f>
        <v>0.6407518154634771</v>
      </c>
      <c r="F36" s="132">
        <f t="shared" si="15"/>
        <v>0.64</v>
      </c>
      <c r="G36" s="132">
        <f t="shared" si="16"/>
        <v>44947.2</v>
      </c>
      <c r="H36" s="130">
        <f t="shared" si="0"/>
        <v>44947</v>
      </c>
      <c r="I36" s="232">
        <f>45000/D36/12</f>
        <v>0.6407518154634771</v>
      </c>
      <c r="J36" s="132">
        <f t="shared" si="57"/>
        <v>0.6</v>
      </c>
      <c r="K36" s="130">
        <f t="shared" si="2"/>
        <v>42138</v>
      </c>
      <c r="L36" s="130">
        <f t="shared" si="17"/>
        <v>42138</v>
      </c>
      <c r="M36" s="232">
        <f>12000/D36/12</f>
        <v>0.17086715079026057</v>
      </c>
      <c r="N36" s="167">
        <f t="shared" si="46"/>
        <v>0.17</v>
      </c>
      <c r="O36" s="130">
        <f t="shared" si="3"/>
        <v>11939.1</v>
      </c>
      <c r="P36" s="130">
        <f t="shared" si="18"/>
        <v>11939</v>
      </c>
      <c r="Q36" s="232">
        <f t="shared" si="19"/>
        <v>0</v>
      </c>
      <c r="R36" s="132">
        <f t="shared" si="47"/>
        <v>0</v>
      </c>
      <c r="S36" s="131">
        <f t="shared" si="4"/>
        <v>0</v>
      </c>
      <c r="T36" s="131">
        <f t="shared" si="20"/>
        <v>0</v>
      </c>
      <c r="U36" s="232">
        <f>185000/D36/12</f>
        <v>2.634201908016517</v>
      </c>
      <c r="V36" s="132">
        <f t="shared" si="5"/>
        <v>2.63</v>
      </c>
      <c r="W36" s="121">
        <f t="shared" si="6"/>
        <v>184704.9</v>
      </c>
      <c r="X36" s="132">
        <f t="shared" si="21"/>
        <v>184705</v>
      </c>
      <c r="Y36" s="232">
        <f>0/D36/12</f>
        <v>0</v>
      </c>
      <c r="Z36" s="132">
        <f t="shared" si="7"/>
        <v>0</v>
      </c>
      <c r="AA36" s="132">
        <f t="shared" si="8"/>
        <v>0</v>
      </c>
      <c r="AB36" s="132">
        <f t="shared" si="22"/>
        <v>0</v>
      </c>
      <c r="AC36" s="232">
        <f>151000/D36/12</f>
        <v>2.150078314110779</v>
      </c>
      <c r="AD36" s="132">
        <f t="shared" si="9"/>
        <v>2.15</v>
      </c>
      <c r="AE36" s="132">
        <f t="shared" si="49"/>
        <v>1159632.6</v>
      </c>
      <c r="AF36" s="132">
        <f>AC36*D36*12</f>
        <v>151000</v>
      </c>
      <c r="AG36" s="167">
        <f>10000/D36/12</f>
        <v>0.14238929232521716</v>
      </c>
      <c r="AH36" s="132">
        <f t="shared" si="24"/>
        <v>0.14</v>
      </c>
      <c r="AI36" s="130">
        <f t="shared" si="10"/>
        <v>9832.2</v>
      </c>
      <c r="AJ36" s="178">
        <f t="shared" si="25"/>
        <v>9832</v>
      </c>
      <c r="AK36" s="287">
        <f>0/D36/12</f>
        <v>0</v>
      </c>
      <c r="AL36" s="288">
        <f t="shared" si="26"/>
        <v>0</v>
      </c>
      <c r="AM36" s="289">
        <f t="shared" si="27"/>
        <v>0</v>
      </c>
      <c r="AN36" s="289">
        <f t="shared" si="28"/>
        <v>0</v>
      </c>
      <c r="AO36" s="289">
        <f t="shared" si="29"/>
        <v>0.21358393848782573</v>
      </c>
      <c r="AP36" s="288">
        <f t="shared" si="30"/>
        <v>0.21</v>
      </c>
      <c r="AQ36" s="289">
        <f t="shared" si="31"/>
        <v>14748.3</v>
      </c>
      <c r="AR36" s="289">
        <f t="shared" si="32"/>
        <v>14748</v>
      </c>
      <c r="AS36" s="218">
        <f t="shared" si="56"/>
        <v>0</v>
      </c>
      <c r="AT36" s="167">
        <f t="shared" si="33"/>
        <v>0</v>
      </c>
      <c r="AU36" s="218">
        <f t="shared" si="50"/>
        <v>0</v>
      </c>
      <c r="AV36" s="218">
        <f t="shared" si="34"/>
        <v>0</v>
      </c>
      <c r="AW36" s="218">
        <f>25000/D36/12</f>
        <v>0.35597323081304283</v>
      </c>
      <c r="AX36" s="167">
        <f t="shared" si="35"/>
        <v>0.36</v>
      </c>
      <c r="AY36" s="218">
        <f t="shared" si="53"/>
        <v>25282.800000000003</v>
      </c>
      <c r="AZ36" s="218">
        <f t="shared" si="13"/>
        <v>25283</v>
      </c>
      <c r="BA36" s="218">
        <f t="shared" si="52"/>
        <v>0</v>
      </c>
      <c r="BB36" s="218">
        <f t="shared" si="36"/>
        <v>0</v>
      </c>
      <c r="BC36" s="218">
        <f t="shared" si="37"/>
        <v>0</v>
      </c>
      <c r="BD36" s="218">
        <f t="shared" si="38"/>
        <v>0</v>
      </c>
      <c r="BE36" s="218">
        <f>6000/D36/12</f>
        <v>0.08543357539513029</v>
      </c>
      <c r="BF36" s="218">
        <f t="shared" si="39"/>
        <v>0.09</v>
      </c>
      <c r="BG36" s="218">
        <f t="shared" si="40"/>
        <v>6000</v>
      </c>
      <c r="BH36" s="218">
        <f t="shared" si="41"/>
        <v>6000</v>
      </c>
      <c r="BI36" s="218">
        <v>6.99</v>
      </c>
      <c r="BJ36" s="328">
        <f t="shared" si="42"/>
        <v>6.989999999999999</v>
      </c>
      <c r="BK36" s="370">
        <f t="shared" si="43"/>
        <v>490907.69999999995</v>
      </c>
      <c r="BL36" s="326">
        <f t="shared" si="44"/>
        <v>490592</v>
      </c>
      <c r="BM36" s="281">
        <f t="shared" si="45"/>
        <v>490592</v>
      </c>
      <c r="BO36" s="211"/>
    </row>
    <row r="37" spans="1:67" ht="24.75" customHeight="1">
      <c r="A37" s="294">
        <v>25</v>
      </c>
      <c r="B37" s="354" t="s">
        <v>138</v>
      </c>
      <c r="C37" s="369">
        <v>1760.86</v>
      </c>
      <c r="D37" s="297">
        <v>1760.86</v>
      </c>
      <c r="E37" s="121">
        <f>15000/D37/12</f>
        <v>0.7098803993503174</v>
      </c>
      <c r="F37" s="132">
        <f t="shared" si="15"/>
        <v>0.71</v>
      </c>
      <c r="G37" s="132">
        <f>F37*D37*12</f>
        <v>15002.527199999999</v>
      </c>
      <c r="H37" s="130">
        <f t="shared" si="0"/>
        <v>15003</v>
      </c>
      <c r="I37" s="232">
        <f>21000/D37/12</f>
        <v>0.9938325590904444</v>
      </c>
      <c r="J37" s="132">
        <f t="shared" si="57"/>
        <v>1</v>
      </c>
      <c r="K37" s="130">
        <f>J37*D37*12</f>
        <v>21130.32</v>
      </c>
      <c r="L37" s="130">
        <f t="shared" si="17"/>
        <v>21130</v>
      </c>
      <c r="M37" s="232">
        <f>0/D37/12</f>
        <v>0</v>
      </c>
      <c r="N37" s="167">
        <f t="shared" si="46"/>
        <v>0</v>
      </c>
      <c r="O37" s="130">
        <f>N37*D37*12</f>
        <v>0</v>
      </c>
      <c r="P37" s="130">
        <f t="shared" si="18"/>
        <v>0</v>
      </c>
      <c r="Q37" s="232">
        <f>0/D37/12</f>
        <v>0</v>
      </c>
      <c r="R37" s="132">
        <f t="shared" si="47"/>
        <v>0</v>
      </c>
      <c r="S37" s="131">
        <f>R37*D37*12</f>
        <v>0</v>
      </c>
      <c r="T37" s="131">
        <f t="shared" si="20"/>
        <v>0</v>
      </c>
      <c r="U37" s="232">
        <f>0/D37/12</f>
        <v>0</v>
      </c>
      <c r="V37" s="132">
        <f t="shared" si="5"/>
        <v>0</v>
      </c>
      <c r="W37" s="121">
        <f>V37*D37*12</f>
        <v>0</v>
      </c>
      <c r="X37" s="132">
        <f t="shared" si="21"/>
        <v>0</v>
      </c>
      <c r="Y37" s="232">
        <f>60000/D37/12</f>
        <v>2.8395215974012697</v>
      </c>
      <c r="Z37" s="132">
        <f t="shared" si="7"/>
        <v>2.84</v>
      </c>
      <c r="AA37" s="132">
        <f>Z37*D37*12</f>
        <v>60010.108799999995</v>
      </c>
      <c r="AB37" s="132">
        <f t="shared" si="22"/>
        <v>60010</v>
      </c>
      <c r="AC37" s="232">
        <f>0/D37/12</f>
        <v>0</v>
      </c>
      <c r="AD37" s="132">
        <f t="shared" si="9"/>
        <v>0</v>
      </c>
      <c r="AE37" s="132">
        <f>AC37*D37*12</f>
        <v>0</v>
      </c>
      <c r="AF37" s="132">
        <f>AC37*D37*12</f>
        <v>0</v>
      </c>
      <c r="AG37" s="167">
        <f>0/D37/12</f>
        <v>0</v>
      </c>
      <c r="AH37" s="132">
        <f t="shared" si="24"/>
        <v>0</v>
      </c>
      <c r="AI37" s="130">
        <f>AH37*D37*12</f>
        <v>0</v>
      </c>
      <c r="AJ37" s="178">
        <f t="shared" si="25"/>
        <v>0</v>
      </c>
      <c r="AK37" s="287">
        <f>0/D37/12</f>
        <v>0</v>
      </c>
      <c r="AL37" s="288">
        <f t="shared" si="26"/>
        <v>0</v>
      </c>
      <c r="AM37" s="289">
        <f>AL37*D37*12</f>
        <v>0</v>
      </c>
      <c r="AN37" s="289">
        <f t="shared" si="28"/>
        <v>0</v>
      </c>
      <c r="AO37" s="289">
        <f>15000/D37/12</f>
        <v>0.7098803993503174</v>
      </c>
      <c r="AP37" s="288">
        <f t="shared" si="30"/>
        <v>0.71</v>
      </c>
      <c r="AQ37" s="289">
        <f>AP37*D37*12</f>
        <v>15002.527199999999</v>
      </c>
      <c r="AR37" s="289">
        <f t="shared" si="32"/>
        <v>15003</v>
      </c>
      <c r="AS37" s="218">
        <f>6500/D37/12</f>
        <v>0.3076148397184709</v>
      </c>
      <c r="AT37" s="167">
        <f t="shared" si="33"/>
        <v>0.31</v>
      </c>
      <c r="AU37" s="218">
        <f>AT37*D37*12</f>
        <v>6550.3992</v>
      </c>
      <c r="AV37" s="218">
        <f t="shared" si="34"/>
        <v>6550</v>
      </c>
      <c r="AW37" s="218">
        <f>16000/D37/12</f>
        <v>0.7572057593070053</v>
      </c>
      <c r="AX37" s="167">
        <f t="shared" si="35"/>
        <v>0.76</v>
      </c>
      <c r="AY37" s="218">
        <f>AX37*D37*12</f>
        <v>16059.0432</v>
      </c>
      <c r="AZ37" s="218">
        <f t="shared" si="13"/>
        <v>16059</v>
      </c>
      <c r="BA37" s="218">
        <f>0/D37/12</f>
        <v>0</v>
      </c>
      <c r="BB37" s="218">
        <f t="shared" si="36"/>
        <v>0</v>
      </c>
      <c r="BC37" s="218">
        <f>BB37*D37*12</f>
        <v>0</v>
      </c>
      <c r="BD37" s="218">
        <f t="shared" si="38"/>
        <v>0</v>
      </c>
      <c r="BE37" s="218">
        <f>6000/D37/12</f>
        <v>0.283952159740127</v>
      </c>
      <c r="BF37" s="218">
        <f t="shared" si="39"/>
        <v>0.28</v>
      </c>
      <c r="BG37" s="218">
        <f>BE37*D37*12</f>
        <v>6000</v>
      </c>
      <c r="BH37" s="218">
        <f t="shared" si="41"/>
        <v>6000</v>
      </c>
      <c r="BI37" s="218">
        <v>6.61</v>
      </c>
      <c r="BJ37" s="328">
        <f>F37+J37+N37+R37+V37+Z37+AD37+AH37+AL37+AP37+AT37+AX37+BB37+BF37</f>
        <v>6.609999999999999</v>
      </c>
      <c r="BK37" s="370">
        <f t="shared" si="43"/>
        <v>139671.4152</v>
      </c>
      <c r="BL37" s="326">
        <f>H37+L37+P37+T37+X37+AB37+AF37+AJ37+AN37+AR37+AV37+AZ37+BD37+BH37</f>
        <v>139755</v>
      </c>
      <c r="BM37" s="281"/>
      <c r="BO37" s="211"/>
    </row>
    <row r="38" spans="1:67" ht="15.75">
      <c r="A38" s="182"/>
      <c r="B38" s="343"/>
      <c r="C38" s="353">
        <f>SUM(C13:C37)</f>
        <v>76573.98999999999</v>
      </c>
      <c r="D38" s="344">
        <f>SUM(D13:D37)</f>
        <v>77498.49</v>
      </c>
      <c r="E38" s="345"/>
      <c r="F38" s="346"/>
      <c r="G38" s="347">
        <f>SUM(G13:G36)</f>
        <v>453358.7796</v>
      </c>
      <c r="H38" s="347">
        <f>SUM(H13:H37)</f>
        <v>468361</v>
      </c>
      <c r="I38" s="348"/>
      <c r="J38" s="347"/>
      <c r="K38" s="347">
        <f>SUM(K14:K36)</f>
        <v>283713.3552</v>
      </c>
      <c r="L38" s="347">
        <f>SUM(L13:L37)</f>
        <v>304843</v>
      </c>
      <c r="M38" s="344"/>
      <c r="N38" s="349"/>
      <c r="O38" s="347">
        <f>SUM(O13:O36)</f>
        <v>138545.5476</v>
      </c>
      <c r="P38" s="347">
        <f>SUM(P13:P37)</f>
        <v>138544</v>
      </c>
      <c r="Q38" s="348"/>
      <c r="R38" s="348"/>
      <c r="S38" s="348">
        <f>SUM(S13:S37)</f>
        <v>102858.12719999999</v>
      </c>
      <c r="T38" s="348">
        <f>SUM(T13:T37)</f>
        <v>102858</v>
      </c>
      <c r="U38" s="348"/>
      <c r="V38" s="350"/>
      <c r="W38" s="344"/>
      <c r="X38" s="347">
        <f>SUM(X13:X37)</f>
        <v>1448591</v>
      </c>
      <c r="Y38" s="348"/>
      <c r="Z38" s="348"/>
      <c r="AA38" s="347"/>
      <c r="AB38" s="347">
        <f>SUM(AB13:AB37)</f>
        <v>1346241</v>
      </c>
      <c r="AC38" s="351"/>
      <c r="AD38" s="351"/>
      <c r="AE38" s="351"/>
      <c r="AF38" s="351">
        <f>SUM(AF13:AF37)</f>
        <v>676000</v>
      </c>
      <c r="AG38" s="352"/>
      <c r="AH38" s="343"/>
      <c r="AI38" s="348"/>
      <c r="AJ38" s="348">
        <f>SUM(AJ13:AJ37)</f>
        <v>75978</v>
      </c>
      <c r="AK38" s="343"/>
      <c r="AL38" s="343"/>
      <c r="AM38" s="353">
        <f>SUM(AM13:AM37)</f>
        <v>7859.956800000002</v>
      </c>
      <c r="AN38" s="353">
        <f>SUM(AN13:AN37)</f>
        <v>7860</v>
      </c>
      <c r="AO38" s="343"/>
      <c r="AP38" s="343"/>
      <c r="AQ38" s="353">
        <f>SUM(AQ13:AQ37)</f>
        <v>347511.3996</v>
      </c>
      <c r="AR38" s="353">
        <f>SUM(AR13:AR37)</f>
        <v>347510</v>
      </c>
      <c r="AS38" s="343"/>
      <c r="AT38" s="343"/>
      <c r="AU38" s="353"/>
      <c r="AV38" s="353">
        <f>SUM(AV13:AV37)</f>
        <v>48339</v>
      </c>
      <c r="AW38" s="343"/>
      <c r="AX38" s="343"/>
      <c r="AY38" s="353"/>
      <c r="AZ38" s="353">
        <f>SUM(AZ13:AZ37)</f>
        <v>452957</v>
      </c>
      <c r="BA38" s="353"/>
      <c r="BB38" s="353"/>
      <c r="BC38" s="353">
        <f>SUM(BC13:BC37)</f>
        <v>650168.2512</v>
      </c>
      <c r="BD38" s="353">
        <f>SUM(BD13:BD37)</f>
        <v>650168</v>
      </c>
      <c r="BE38" s="353"/>
      <c r="BF38" s="353"/>
      <c r="BG38" s="353"/>
      <c r="BH38" s="353">
        <f>SUM(BH13:BH37)</f>
        <v>102000</v>
      </c>
      <c r="BI38" s="353"/>
      <c r="BJ38" s="353"/>
      <c r="BK38" s="371">
        <f>SUM(BK13:BK37)</f>
        <v>6099219.634799999</v>
      </c>
      <c r="BL38" s="327">
        <f>SUM(BL13:BL37)</f>
        <v>6170250</v>
      </c>
      <c r="BM38" s="282">
        <f>SUM(BM13:BM36)</f>
        <v>6030495</v>
      </c>
      <c r="BO38" s="211"/>
    </row>
    <row r="39" spans="2:65" ht="14.2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2"/>
      <c r="W39" s="342"/>
      <c r="X39" s="342"/>
      <c r="Y39" s="342"/>
      <c r="Z39" s="342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L39" s="214"/>
      <c r="BM39" s="214"/>
    </row>
    <row r="40" spans="1:65" ht="12.75">
      <c r="A40" s="397" t="s">
        <v>106</v>
      </c>
      <c r="B40" s="398"/>
      <c r="C40" s="398"/>
      <c r="D40" s="398"/>
      <c r="BL40" s="214"/>
      <c r="BM40" s="214"/>
    </row>
    <row r="41" spans="1:65" ht="12.75">
      <c r="A41" s="398"/>
      <c r="B41" s="398"/>
      <c r="C41" s="398"/>
      <c r="D41" s="398"/>
      <c r="BL41" s="214"/>
      <c r="BM41" s="214"/>
    </row>
  </sheetData>
  <mergeCells count="9">
    <mergeCell ref="A40:D41"/>
    <mergeCell ref="A3:B3"/>
    <mergeCell ref="A6:BL6"/>
    <mergeCell ref="A7:BL7"/>
    <mergeCell ref="A10:A12"/>
    <mergeCell ref="B10:B12"/>
    <mergeCell ref="D10:D12"/>
    <mergeCell ref="E10:BL10"/>
    <mergeCell ref="C10:C12"/>
  </mergeCells>
  <printOptions/>
  <pageMargins left="0.2" right="0.16" top="0.16" bottom="0.15" header="0.48" footer="0.5"/>
  <pageSetup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1"/>
  <sheetViews>
    <sheetView workbookViewId="0" topLeftCell="A1">
      <pane xSplit="3" ySplit="10" topLeftCell="AW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C23" sqref="BC23"/>
    </sheetView>
  </sheetViews>
  <sheetFormatPr defaultColWidth="9.140625" defaultRowHeight="12.75"/>
  <cols>
    <col min="1" max="1" width="4.8515625" style="0" customWidth="1"/>
    <col min="2" max="2" width="21.57421875" style="0" customWidth="1"/>
    <col min="17" max="21" width="9.28125" style="0" bestFit="1" customWidth="1"/>
    <col min="22" max="23" width="9.7109375" style="0" bestFit="1" customWidth="1"/>
    <col min="24" max="25" width="9.28125" style="0" bestFit="1" customWidth="1"/>
    <col min="26" max="27" width="9.7109375" style="0" bestFit="1" customWidth="1"/>
    <col min="28" max="36" width="9.28125" style="0" bestFit="1" customWidth="1"/>
    <col min="57" max="57" width="19.140625" style="0" customWidth="1"/>
  </cols>
  <sheetData>
    <row r="1" ht="12.75">
      <c r="B1" t="s">
        <v>122</v>
      </c>
    </row>
    <row r="2" spans="1:57" ht="12.75">
      <c r="A2" s="133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73"/>
      <c r="N2" s="133"/>
      <c r="O2" s="133"/>
      <c r="P2" s="133"/>
      <c r="Q2" s="133"/>
      <c r="R2" s="133"/>
      <c r="S2" s="133"/>
      <c r="T2" s="133"/>
      <c r="U2" s="175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</row>
    <row r="3" spans="1:57" ht="12.75">
      <c r="A3" s="399" t="s">
        <v>111</v>
      </c>
      <c r="B3" s="399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73"/>
      <c r="N3" s="133"/>
      <c r="O3" s="133"/>
      <c r="P3" s="133"/>
      <c r="Q3" s="133"/>
      <c r="R3" s="133"/>
      <c r="S3" s="133"/>
      <c r="T3" s="133"/>
      <c r="U3" s="175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</row>
    <row r="4" spans="1:57" ht="4.5" customHeight="1">
      <c r="A4" s="274"/>
      <c r="B4" s="274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  <c r="N4" s="275"/>
      <c r="O4" s="275"/>
      <c r="P4" s="275"/>
      <c r="Q4" s="275"/>
      <c r="R4" s="275"/>
      <c r="S4" s="275"/>
      <c r="T4" s="275"/>
      <c r="U4" s="277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</row>
    <row r="5" spans="1:57" ht="14.25">
      <c r="A5" s="400" t="s">
        <v>107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</row>
    <row r="6" spans="1:57" ht="14.25">
      <c r="A6" s="400" t="s">
        <v>118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</row>
    <row r="7" spans="1:57" ht="2.2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</row>
    <row r="8" spans="1:57" ht="12.75">
      <c r="A8" s="401" t="s">
        <v>1</v>
      </c>
      <c r="B8" s="401" t="s">
        <v>2</v>
      </c>
      <c r="C8" s="401" t="s">
        <v>63</v>
      </c>
      <c r="D8" s="402" t="s">
        <v>7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4"/>
    </row>
    <row r="9" spans="1:57" ht="125.25" customHeight="1">
      <c r="A9" s="401"/>
      <c r="B9" s="401"/>
      <c r="C9" s="401"/>
      <c r="D9" s="309" t="s">
        <v>8</v>
      </c>
      <c r="E9" s="264" t="s">
        <v>8</v>
      </c>
      <c r="F9" s="134" t="s">
        <v>72</v>
      </c>
      <c r="G9" s="134" t="s">
        <v>72</v>
      </c>
      <c r="H9" s="308" t="s">
        <v>90</v>
      </c>
      <c r="I9" s="267" t="s">
        <v>90</v>
      </c>
      <c r="J9" s="134" t="s">
        <v>72</v>
      </c>
      <c r="K9" s="134" t="s">
        <v>72</v>
      </c>
      <c r="L9" s="308" t="s">
        <v>11</v>
      </c>
      <c r="M9" s="266" t="s">
        <v>11</v>
      </c>
      <c r="N9" s="134" t="s">
        <v>72</v>
      </c>
      <c r="O9" s="134" t="s">
        <v>72</v>
      </c>
      <c r="P9" s="308" t="s">
        <v>12</v>
      </c>
      <c r="Q9" s="272" t="s">
        <v>12</v>
      </c>
      <c r="R9" s="134" t="s">
        <v>72</v>
      </c>
      <c r="S9" s="134" t="s">
        <v>72</v>
      </c>
      <c r="T9" s="308" t="s">
        <v>13</v>
      </c>
      <c r="U9" s="265" t="s">
        <v>13</v>
      </c>
      <c r="V9" s="135" t="s">
        <v>72</v>
      </c>
      <c r="W9" s="135" t="s">
        <v>72</v>
      </c>
      <c r="X9" s="310" t="s">
        <v>14</v>
      </c>
      <c r="Y9" s="264" t="s">
        <v>14</v>
      </c>
      <c r="Z9" s="134" t="s">
        <v>72</v>
      </c>
      <c r="AA9" s="134" t="s">
        <v>72</v>
      </c>
      <c r="AB9" s="236" t="s">
        <v>92</v>
      </c>
      <c r="AC9" s="233" t="s">
        <v>92</v>
      </c>
      <c r="AD9" s="134" t="s">
        <v>72</v>
      </c>
      <c r="AE9" s="176" t="s">
        <v>72</v>
      </c>
      <c r="AF9" s="220" t="s">
        <v>121</v>
      </c>
      <c r="AG9" s="233" t="str">
        <f>AF9</f>
        <v>поверка приборов учета АИТП</v>
      </c>
      <c r="AH9" s="134" t="s">
        <v>72</v>
      </c>
      <c r="AI9" s="134" t="s">
        <v>72</v>
      </c>
      <c r="AJ9" s="311" t="s">
        <v>93</v>
      </c>
      <c r="AK9" s="233" t="str">
        <f>AJ9</f>
        <v>замена и приобретение приборов учета</v>
      </c>
      <c r="AL9" s="134" t="s">
        <v>72</v>
      </c>
      <c r="AM9" s="134" t="s">
        <v>72</v>
      </c>
      <c r="AN9" s="220" t="s">
        <v>120</v>
      </c>
      <c r="AO9" s="233" t="str">
        <f>AN9</f>
        <v>установка ламп над подъездами</v>
      </c>
      <c r="AP9" s="134" t="s">
        <v>72</v>
      </c>
      <c r="AQ9" s="134" t="s">
        <v>72</v>
      </c>
      <c r="AR9" s="291" t="s">
        <v>104</v>
      </c>
      <c r="AS9" s="291" t="s">
        <v>104</v>
      </c>
      <c r="AT9" s="292" t="s">
        <v>72</v>
      </c>
      <c r="AU9" s="292" t="s">
        <v>72</v>
      </c>
      <c r="AV9" s="134" t="s">
        <v>116</v>
      </c>
      <c r="AW9" s="134" t="s">
        <v>116</v>
      </c>
      <c r="AX9" s="134" t="s">
        <v>72</v>
      </c>
      <c r="AY9" s="134" t="s">
        <v>72</v>
      </c>
      <c r="AZ9" s="293" t="s">
        <v>114</v>
      </c>
      <c r="BA9" s="293" t="s">
        <v>114</v>
      </c>
      <c r="BB9" s="293" t="s">
        <v>115</v>
      </c>
      <c r="BC9" s="293" t="s">
        <v>115</v>
      </c>
      <c r="BD9" s="194" t="s">
        <v>89</v>
      </c>
      <c r="BE9" s="134" t="s">
        <v>72</v>
      </c>
    </row>
    <row r="10" spans="1:57" ht="34.5" customHeight="1">
      <c r="A10" s="401"/>
      <c r="B10" s="401"/>
      <c r="C10" s="401"/>
      <c r="D10" s="172" t="s">
        <v>15</v>
      </c>
      <c r="E10" s="134" t="s">
        <v>15</v>
      </c>
      <c r="F10" s="134" t="s">
        <v>84</v>
      </c>
      <c r="G10" s="134" t="s">
        <v>84</v>
      </c>
      <c r="H10" s="125"/>
      <c r="I10" s="261" t="s">
        <v>15</v>
      </c>
      <c r="J10" s="134" t="s">
        <v>84</v>
      </c>
      <c r="K10" s="134" t="s">
        <v>84</v>
      </c>
      <c r="L10" s="125"/>
      <c r="M10" s="262" t="s">
        <v>15</v>
      </c>
      <c r="N10" s="134" t="s">
        <v>84</v>
      </c>
      <c r="O10" s="134" t="s">
        <v>84</v>
      </c>
      <c r="P10" s="125"/>
      <c r="Q10" s="262" t="s">
        <v>15</v>
      </c>
      <c r="R10" s="134" t="s">
        <v>84</v>
      </c>
      <c r="S10" s="134" t="s">
        <v>84</v>
      </c>
      <c r="T10" s="125"/>
      <c r="U10" s="263" t="s">
        <v>15</v>
      </c>
      <c r="V10" s="134" t="s">
        <v>84</v>
      </c>
      <c r="W10" s="134" t="s">
        <v>84</v>
      </c>
      <c r="X10" s="125"/>
      <c r="Y10" s="262" t="s">
        <v>15</v>
      </c>
      <c r="Z10" s="134" t="s">
        <v>15</v>
      </c>
      <c r="AA10" s="134" t="s">
        <v>84</v>
      </c>
      <c r="AB10" s="166" t="s">
        <v>15</v>
      </c>
      <c r="AC10" s="268" t="s">
        <v>15</v>
      </c>
      <c r="AD10" s="164" t="s">
        <v>84</v>
      </c>
      <c r="AE10" s="177" t="s">
        <v>84</v>
      </c>
      <c r="AF10" s="168" t="s">
        <v>15</v>
      </c>
      <c r="AG10" s="260" t="s">
        <v>15</v>
      </c>
      <c r="AH10" s="164" t="s">
        <v>84</v>
      </c>
      <c r="AI10" s="164" t="s">
        <v>84</v>
      </c>
      <c r="AJ10" s="168" t="s">
        <v>15</v>
      </c>
      <c r="AK10" s="260" t="s">
        <v>15</v>
      </c>
      <c r="AL10" s="164" t="s">
        <v>84</v>
      </c>
      <c r="AM10" s="164" t="s">
        <v>84</v>
      </c>
      <c r="AN10" s="168" t="s">
        <v>15</v>
      </c>
      <c r="AO10" s="260" t="s">
        <v>15</v>
      </c>
      <c r="AP10" s="164" t="s">
        <v>84</v>
      </c>
      <c r="AQ10" s="164" t="s">
        <v>84</v>
      </c>
      <c r="AR10" s="260" t="s">
        <v>15</v>
      </c>
      <c r="AS10" s="260" t="s">
        <v>15</v>
      </c>
      <c r="AT10" s="164" t="s">
        <v>84</v>
      </c>
      <c r="AU10" s="164" t="s">
        <v>84</v>
      </c>
      <c r="AV10" s="260" t="s">
        <v>15</v>
      </c>
      <c r="AW10" s="260" t="s">
        <v>15</v>
      </c>
      <c r="AX10" s="164" t="s">
        <v>84</v>
      </c>
      <c r="AY10" s="164" t="s">
        <v>84</v>
      </c>
      <c r="AZ10" s="164"/>
      <c r="BA10" s="164"/>
      <c r="BB10" s="164"/>
      <c r="BC10" s="164"/>
      <c r="BD10" s="195" t="s">
        <v>15</v>
      </c>
      <c r="BE10" s="177" t="s">
        <v>84</v>
      </c>
    </row>
    <row r="11" spans="1:57" ht="12.75">
      <c r="A11" s="205">
        <v>1</v>
      </c>
      <c r="B11" s="127" t="s">
        <v>43</v>
      </c>
      <c r="C11" s="227">
        <v>3345.2</v>
      </c>
      <c r="D11" s="121">
        <f>20000/C11/12</f>
        <v>0.4982263143210172</v>
      </c>
      <c r="E11" s="132">
        <f>ROUND(D11,2)</f>
        <v>0.5</v>
      </c>
      <c r="F11" s="132">
        <f>E11*C11*12</f>
        <v>20071.199999999997</v>
      </c>
      <c r="G11" s="130">
        <f aca="true" t="shared" si="0" ref="G11:G35">ROUND(F11,0)</f>
        <v>20071</v>
      </c>
      <c r="H11" s="232">
        <f>0/C11/12</f>
        <v>0</v>
      </c>
      <c r="I11" s="132">
        <f aca="true" t="shared" si="1" ref="I11:I28">ROUND(H11,2)</f>
        <v>0</v>
      </c>
      <c r="J11" s="130">
        <f aca="true" t="shared" si="2" ref="J11:J35">I11*C11*12</f>
        <v>0</v>
      </c>
      <c r="K11" s="130">
        <f>ROUND(J11,0)</f>
        <v>0</v>
      </c>
      <c r="L11" s="232">
        <f aca="true" t="shared" si="3" ref="L11:L34">0/C11/12</f>
        <v>0</v>
      </c>
      <c r="M11" s="167">
        <f>ROUND(L11,2)</f>
        <v>0</v>
      </c>
      <c r="N11" s="130">
        <f aca="true" t="shared" si="4" ref="N11:N35">M11*C11*12</f>
        <v>0</v>
      </c>
      <c r="O11" s="130">
        <f>ROUND(N11,0)</f>
        <v>0</v>
      </c>
      <c r="P11" s="232">
        <f>0/C11/12</f>
        <v>0</v>
      </c>
      <c r="Q11" s="132">
        <f>ROUND(P11,1)</f>
        <v>0</v>
      </c>
      <c r="R11" s="131">
        <f aca="true" t="shared" si="5" ref="R11:R36">Q11*C11*12</f>
        <v>0</v>
      </c>
      <c r="S11" s="131">
        <f>ROUND(R11,0)</f>
        <v>0</v>
      </c>
      <c r="T11" s="232">
        <f>0/C11/12</f>
        <v>0</v>
      </c>
      <c r="U11" s="132">
        <f aca="true" t="shared" si="6" ref="U11:U35">ROUND(T11,2)</f>
        <v>0</v>
      </c>
      <c r="V11" s="121">
        <f aca="true" t="shared" si="7" ref="V11:V35">U11*C11*12</f>
        <v>0</v>
      </c>
      <c r="W11" s="132">
        <f>ROUND(V11,0)</f>
        <v>0</v>
      </c>
      <c r="X11" s="232">
        <f>0/C11/12</f>
        <v>0</v>
      </c>
      <c r="Y11" s="130">
        <f aca="true" t="shared" si="8" ref="Y11:Y35">ROUND(X11,2)</f>
        <v>0</v>
      </c>
      <c r="Z11" s="132">
        <f aca="true" t="shared" si="9" ref="Z11:Z35">Y11*C11*12</f>
        <v>0</v>
      </c>
      <c r="AA11" s="132">
        <f>ROUND(Z11,0)</f>
        <v>0</v>
      </c>
      <c r="AB11" s="167">
        <f>22000/C11/12</f>
        <v>0.5480489457531189</v>
      </c>
      <c r="AC11" s="132">
        <f>ROUND(AB11,2)</f>
        <v>0.55</v>
      </c>
      <c r="AD11" s="130">
        <f aca="true" t="shared" si="10" ref="AD11:AD35">AC11*C11*12</f>
        <v>22078.32</v>
      </c>
      <c r="AE11" s="178">
        <f>ROUND(AD11,0)</f>
        <v>22078</v>
      </c>
      <c r="AF11" s="287">
        <f>7000/C11/12</f>
        <v>0.174379210012356</v>
      </c>
      <c r="AG11" s="288">
        <f>ROUND(AF11,2)</f>
        <v>0.17</v>
      </c>
      <c r="AH11" s="289">
        <f>AG11*C11*12</f>
        <v>6824.208</v>
      </c>
      <c r="AI11" s="289">
        <f>ROUND(AH11,0)</f>
        <v>6824</v>
      </c>
      <c r="AJ11" s="289">
        <f>15000/C11/12</f>
        <v>0.37366973574076295</v>
      </c>
      <c r="AK11" s="288">
        <f>ROUND(AJ11,2)</f>
        <v>0.37</v>
      </c>
      <c r="AL11" s="289">
        <f>AK11*C11*12</f>
        <v>14852.687999999998</v>
      </c>
      <c r="AM11" s="289">
        <f>ROUND(AL11,0)</f>
        <v>14853</v>
      </c>
      <c r="AN11" s="218">
        <f>6000/C11/12</f>
        <v>0.14946789429630516</v>
      </c>
      <c r="AO11" s="167">
        <f>ROUND(AN11,2)</f>
        <v>0.15</v>
      </c>
      <c r="AP11" s="218">
        <f>AO11*C11*12</f>
        <v>6021.36</v>
      </c>
      <c r="AQ11" s="218">
        <f>ROUND(AP11,0)</f>
        <v>6021</v>
      </c>
      <c r="AR11" s="218">
        <f>0/C11/12</f>
        <v>0</v>
      </c>
      <c r="AS11" s="167">
        <f>ROUND(AR11,2)</f>
        <v>0</v>
      </c>
      <c r="AT11" s="218">
        <f aca="true" t="shared" si="11" ref="AT11:AT19">AS11*C11*12</f>
        <v>0</v>
      </c>
      <c r="AU11" s="218">
        <f aca="true" t="shared" si="12" ref="AU11:AU36">ROUND(AT11,0)</f>
        <v>0</v>
      </c>
      <c r="AV11" s="218">
        <f>131617/C11/12</f>
        <v>3.278752640599466</v>
      </c>
      <c r="AW11" s="218">
        <f>ROUND(AV11,2)</f>
        <v>3.28</v>
      </c>
      <c r="AX11" s="218">
        <f>AW11*C11*12</f>
        <v>131667.072</v>
      </c>
      <c r="AY11" s="218">
        <f>ROUND(AX11,0)</f>
        <v>131667</v>
      </c>
      <c r="AZ11" s="218">
        <f>0/C11/12</f>
        <v>0</v>
      </c>
      <c r="BA11" s="218">
        <f>ROUND(0,0)</f>
        <v>0</v>
      </c>
      <c r="BB11" s="218">
        <f>AZ11*C11*12</f>
        <v>0</v>
      </c>
      <c r="BC11" s="218">
        <f>ROUND(0,0)</f>
        <v>0</v>
      </c>
      <c r="BD11" s="196">
        <f>AO11+AK11+AG11+AC11+Y11+U11+Q11+M11+I11+E11+AW11</f>
        <v>5.02</v>
      </c>
      <c r="BE11" s="212">
        <f>BD11*C11*12</f>
        <v>201514.848</v>
      </c>
    </row>
    <row r="12" spans="1:57" ht="12.75">
      <c r="A12" s="205">
        <v>2</v>
      </c>
      <c r="B12" s="126" t="s">
        <v>44</v>
      </c>
      <c r="C12" s="132">
        <v>3350</v>
      </c>
      <c r="D12" s="121">
        <f>0/C12/12</f>
        <v>0</v>
      </c>
      <c r="E12" s="132">
        <f aca="true" t="shared" si="13" ref="E12:E35">ROUND(D12,2)</f>
        <v>0</v>
      </c>
      <c r="F12" s="132">
        <f aca="true" t="shared" si="14" ref="F12:F35">E12*C12*12</f>
        <v>0</v>
      </c>
      <c r="G12" s="130">
        <f t="shared" si="0"/>
        <v>0</v>
      </c>
      <c r="H12" s="232">
        <f>0/C12/12</f>
        <v>0</v>
      </c>
      <c r="I12" s="132">
        <f t="shared" si="1"/>
        <v>0</v>
      </c>
      <c r="J12" s="130">
        <f t="shared" si="2"/>
        <v>0</v>
      </c>
      <c r="K12" s="130">
        <f aca="true" t="shared" si="15" ref="K12:K35">ROUND(J12,0)</f>
        <v>0</v>
      </c>
      <c r="L12" s="232">
        <f t="shared" si="3"/>
        <v>0</v>
      </c>
      <c r="M12" s="167">
        <f>ROUND(L12,2)</f>
        <v>0</v>
      </c>
      <c r="N12" s="130">
        <f t="shared" si="4"/>
        <v>0</v>
      </c>
      <c r="O12" s="130">
        <f aca="true" t="shared" si="16" ref="O12:O35">ROUND(N12,0)</f>
        <v>0</v>
      </c>
      <c r="P12" s="232">
        <f aca="true" t="shared" si="17" ref="P12:P34">0/C12/12</f>
        <v>0</v>
      </c>
      <c r="Q12" s="132">
        <f>ROUND(P12,1)</f>
        <v>0</v>
      </c>
      <c r="R12" s="131">
        <f t="shared" si="5"/>
        <v>0</v>
      </c>
      <c r="S12" s="131">
        <f aca="true" t="shared" si="18" ref="S12:S36">ROUND(R12,0)</f>
        <v>0</v>
      </c>
      <c r="T12" s="232">
        <f aca="true" t="shared" si="19" ref="T12:T35">0/C12/12</f>
        <v>0</v>
      </c>
      <c r="U12" s="132">
        <f t="shared" si="6"/>
        <v>0</v>
      </c>
      <c r="V12" s="121">
        <f t="shared" si="7"/>
        <v>0</v>
      </c>
      <c r="W12" s="132">
        <f aca="true" t="shared" si="20" ref="W12:W35">ROUND(V12,0)</f>
        <v>0</v>
      </c>
      <c r="X12" s="232">
        <f>19000/C12/12</f>
        <v>0.472636815920398</v>
      </c>
      <c r="Y12" s="132">
        <f t="shared" si="8"/>
        <v>0.47</v>
      </c>
      <c r="Z12" s="132">
        <f t="shared" si="9"/>
        <v>18894</v>
      </c>
      <c r="AA12" s="132">
        <f aca="true" t="shared" si="21" ref="AA12:AA36">ROUND(Z12,0)</f>
        <v>18894</v>
      </c>
      <c r="AB12" s="167">
        <f>33600/C12/12</f>
        <v>0.8358208955223881</v>
      </c>
      <c r="AC12" s="132">
        <f aca="true" t="shared" si="22" ref="AC12:AC35">ROUND(AB12,2)</f>
        <v>0.84</v>
      </c>
      <c r="AD12" s="130">
        <f t="shared" si="10"/>
        <v>33768</v>
      </c>
      <c r="AE12" s="178">
        <f aca="true" t="shared" si="23" ref="AE12:AE36">ROUND(AD12,0)</f>
        <v>33768</v>
      </c>
      <c r="AF12" s="287">
        <f>14500/C12/12</f>
        <v>0.3606965174129353</v>
      </c>
      <c r="AG12" s="288">
        <f aca="true" t="shared" si="24" ref="AG12:AG35">ROUND(AF12,2)</f>
        <v>0.36</v>
      </c>
      <c r="AH12" s="289">
        <f aca="true" t="shared" si="25" ref="AH12:AH34">AG12*C12*12</f>
        <v>14472</v>
      </c>
      <c r="AI12" s="289">
        <f aca="true" t="shared" si="26" ref="AI12:AI36">ROUND(AH12,0)</f>
        <v>14472</v>
      </c>
      <c r="AJ12" s="289">
        <f aca="true" t="shared" si="27" ref="AJ12:AJ34">15000/C12/12</f>
        <v>0.3731343283582089</v>
      </c>
      <c r="AK12" s="288">
        <f aca="true" t="shared" si="28" ref="AK12:AK35">ROUND(AJ12,2)</f>
        <v>0.37</v>
      </c>
      <c r="AL12" s="289">
        <f aca="true" t="shared" si="29" ref="AL12:AL34">AK12*C12*12</f>
        <v>14874</v>
      </c>
      <c r="AM12" s="289">
        <f aca="true" t="shared" si="30" ref="AM12:AM37">ROUND(AL12,0)</f>
        <v>14874</v>
      </c>
      <c r="AN12" s="218">
        <f>6000/C12/12</f>
        <v>0.1492537313432836</v>
      </c>
      <c r="AO12" s="167">
        <f aca="true" t="shared" si="31" ref="AO12:AO35">ROUND(AN12,2)</f>
        <v>0.15</v>
      </c>
      <c r="AP12" s="218">
        <f>AO12*C12*12</f>
        <v>6030</v>
      </c>
      <c r="AQ12" s="218">
        <f aca="true" t="shared" si="32" ref="AQ12:AQ35">ROUND(AP12,0)</f>
        <v>6030</v>
      </c>
      <c r="AR12" s="218">
        <f aca="true" t="shared" si="33" ref="AR12:AR36">0/C12/12</f>
        <v>0</v>
      </c>
      <c r="AS12" s="167">
        <f aca="true" t="shared" si="34" ref="AS12:AS36">ROUND(AR12,2)</f>
        <v>0</v>
      </c>
      <c r="AT12" s="218">
        <f t="shared" si="11"/>
        <v>0</v>
      </c>
      <c r="AU12" s="218">
        <f t="shared" si="12"/>
        <v>0</v>
      </c>
      <c r="AV12" s="218">
        <f>131617/C12/12</f>
        <v>3.2740547263681594</v>
      </c>
      <c r="AW12" s="218">
        <f aca="true" t="shared" si="35" ref="AW12:AW36">ROUND(AV12,2)</f>
        <v>3.27</v>
      </c>
      <c r="AX12" s="218">
        <f aca="true" t="shared" si="36" ref="AX12:AX36">AW12*C12*12</f>
        <v>131454</v>
      </c>
      <c r="AY12" s="218">
        <f aca="true" t="shared" si="37" ref="AY12:AY37">ROUND(AX12,0)</f>
        <v>131454</v>
      </c>
      <c r="AZ12" s="218">
        <f aca="true" t="shared" si="38" ref="AZ12:AZ35">0/C12/12</f>
        <v>0</v>
      </c>
      <c r="BA12" s="218">
        <f aca="true" t="shared" si="39" ref="BA12:BA28">ROUND(0,0)</f>
        <v>0</v>
      </c>
      <c r="BB12" s="218">
        <f aca="true" t="shared" si="40" ref="BB12:BB35">AZ12*C12*12</f>
        <v>0</v>
      </c>
      <c r="BC12" s="218">
        <f aca="true" t="shared" si="41" ref="BC12:BC28">ROUND(0,0)</f>
        <v>0</v>
      </c>
      <c r="BD12" s="196">
        <f aca="true" t="shared" si="42" ref="BD12:BD36">AO12+AK12+AG12+AC12+Y12+U12+Q12+M12+I12+E12+AW12</f>
        <v>5.46</v>
      </c>
      <c r="BE12" s="212">
        <f aca="true" t="shared" si="43" ref="BE12:BE35">BD12*C12*12</f>
        <v>219492</v>
      </c>
    </row>
    <row r="13" spans="1:57" ht="12.75">
      <c r="A13" s="205">
        <v>3</v>
      </c>
      <c r="B13" s="126" t="s">
        <v>45</v>
      </c>
      <c r="C13" s="132">
        <v>1745.8</v>
      </c>
      <c r="D13" s="121">
        <f>15000/C13/12</f>
        <v>0.7160041241837553</v>
      </c>
      <c r="E13" s="132">
        <f t="shared" si="13"/>
        <v>0.72</v>
      </c>
      <c r="F13" s="132">
        <f t="shared" si="14"/>
        <v>15083.712</v>
      </c>
      <c r="G13" s="130">
        <f t="shared" si="0"/>
        <v>15084</v>
      </c>
      <c r="H13" s="232">
        <f>0/C13/12</f>
        <v>0</v>
      </c>
      <c r="I13" s="132">
        <f t="shared" si="1"/>
        <v>0</v>
      </c>
      <c r="J13" s="130">
        <f t="shared" si="2"/>
        <v>0</v>
      </c>
      <c r="K13" s="130">
        <f t="shared" si="15"/>
        <v>0</v>
      </c>
      <c r="L13" s="232">
        <f t="shared" si="3"/>
        <v>0</v>
      </c>
      <c r="M13" s="167">
        <f aca="true" t="shared" si="44" ref="M13:M35">ROUND(L13,2)</f>
        <v>0</v>
      </c>
      <c r="N13" s="130">
        <f t="shared" si="4"/>
        <v>0</v>
      </c>
      <c r="O13" s="130">
        <f t="shared" si="16"/>
        <v>0</v>
      </c>
      <c r="P13" s="232">
        <f t="shared" si="17"/>
        <v>0</v>
      </c>
      <c r="Q13" s="132">
        <f>ROUND(P13,1)</f>
        <v>0</v>
      </c>
      <c r="R13" s="131">
        <f t="shared" si="5"/>
        <v>0</v>
      </c>
      <c r="S13" s="131">
        <f t="shared" si="18"/>
        <v>0</v>
      </c>
      <c r="T13" s="232">
        <f t="shared" si="19"/>
        <v>0</v>
      </c>
      <c r="U13" s="132">
        <f t="shared" si="6"/>
        <v>0</v>
      </c>
      <c r="V13" s="121">
        <f t="shared" si="7"/>
        <v>0</v>
      </c>
      <c r="W13" s="132">
        <f t="shared" si="20"/>
        <v>0</v>
      </c>
      <c r="X13" s="232">
        <f>0/C13/12</f>
        <v>0</v>
      </c>
      <c r="Y13" s="132">
        <f t="shared" si="8"/>
        <v>0</v>
      </c>
      <c r="Z13" s="132">
        <f t="shared" si="9"/>
        <v>0</v>
      </c>
      <c r="AA13" s="132">
        <f t="shared" si="21"/>
        <v>0</v>
      </c>
      <c r="AB13" s="167">
        <f>11000/C13/12</f>
        <v>0.5250696910680872</v>
      </c>
      <c r="AC13" s="132">
        <f t="shared" si="22"/>
        <v>0.53</v>
      </c>
      <c r="AD13" s="130">
        <f t="shared" si="10"/>
        <v>11103.288</v>
      </c>
      <c r="AE13" s="178">
        <f t="shared" si="23"/>
        <v>11103</v>
      </c>
      <c r="AF13" s="287">
        <f>14500/C13/12</f>
        <v>0.6921373200442967</v>
      </c>
      <c r="AG13" s="288">
        <f t="shared" si="24"/>
        <v>0.69</v>
      </c>
      <c r="AH13" s="289">
        <f t="shared" si="25"/>
        <v>14455.223999999998</v>
      </c>
      <c r="AI13" s="289">
        <f t="shared" si="26"/>
        <v>14455</v>
      </c>
      <c r="AJ13" s="289">
        <f t="shared" si="27"/>
        <v>0.7160041241837553</v>
      </c>
      <c r="AK13" s="288">
        <f t="shared" si="28"/>
        <v>0.72</v>
      </c>
      <c r="AL13" s="289">
        <f>AK13*C13*12</f>
        <v>15083.712</v>
      </c>
      <c r="AM13" s="289">
        <f t="shared" si="30"/>
        <v>15084</v>
      </c>
      <c r="AN13" s="218">
        <f>6000/C13/12</f>
        <v>0.2864016496735021</v>
      </c>
      <c r="AO13" s="167">
        <f t="shared" si="31"/>
        <v>0.29</v>
      </c>
      <c r="AP13" s="218">
        <f>AO13*C13*12</f>
        <v>6075.383999999999</v>
      </c>
      <c r="AQ13" s="218">
        <f t="shared" si="32"/>
        <v>6075</v>
      </c>
      <c r="AR13" s="218">
        <f t="shared" si="33"/>
        <v>0</v>
      </c>
      <c r="AS13" s="167">
        <f t="shared" si="34"/>
        <v>0</v>
      </c>
      <c r="AT13" s="218">
        <f t="shared" si="11"/>
        <v>0</v>
      </c>
      <c r="AU13" s="218">
        <f t="shared" si="12"/>
        <v>0</v>
      </c>
      <c r="AV13" s="218">
        <f>98145/C13/12</f>
        <v>4.684814984534311</v>
      </c>
      <c r="AW13" s="218">
        <f t="shared" si="35"/>
        <v>4.68</v>
      </c>
      <c r="AX13" s="218">
        <f t="shared" si="36"/>
        <v>98044.128</v>
      </c>
      <c r="AY13" s="218">
        <f t="shared" si="37"/>
        <v>98044</v>
      </c>
      <c r="AZ13" s="218">
        <f t="shared" si="38"/>
        <v>0</v>
      </c>
      <c r="BA13" s="218">
        <f t="shared" si="39"/>
        <v>0</v>
      </c>
      <c r="BB13" s="218">
        <f t="shared" si="40"/>
        <v>0</v>
      </c>
      <c r="BC13" s="218">
        <f t="shared" si="41"/>
        <v>0</v>
      </c>
      <c r="BD13" s="196">
        <f t="shared" si="42"/>
        <v>7.63</v>
      </c>
      <c r="BE13" s="212">
        <f t="shared" si="43"/>
        <v>159845.448</v>
      </c>
    </row>
    <row r="14" spans="1:57" ht="12.75">
      <c r="A14" s="205">
        <v>4</v>
      </c>
      <c r="B14" s="126" t="s">
        <v>46</v>
      </c>
      <c r="C14" s="132">
        <v>3545.48</v>
      </c>
      <c r="D14" s="121">
        <f>20000/C14/12</f>
        <v>0.47008209513709476</v>
      </c>
      <c r="E14" s="132">
        <f t="shared" si="13"/>
        <v>0.47</v>
      </c>
      <c r="F14" s="132">
        <f t="shared" si="14"/>
        <v>19996.5072</v>
      </c>
      <c r="G14" s="130">
        <f t="shared" si="0"/>
        <v>19997</v>
      </c>
      <c r="H14" s="232">
        <f>10000/C14/12</f>
        <v>0.23504104756854738</v>
      </c>
      <c r="I14" s="132">
        <f t="shared" si="1"/>
        <v>0.24</v>
      </c>
      <c r="J14" s="130">
        <f t="shared" si="2"/>
        <v>10210.9824</v>
      </c>
      <c r="K14" s="130">
        <f t="shared" si="15"/>
        <v>10211</v>
      </c>
      <c r="L14" s="232">
        <f t="shared" si="3"/>
        <v>0</v>
      </c>
      <c r="M14" s="167">
        <f t="shared" si="44"/>
        <v>0</v>
      </c>
      <c r="N14" s="130">
        <f t="shared" si="4"/>
        <v>0</v>
      </c>
      <c r="O14" s="130">
        <f t="shared" si="16"/>
        <v>0</v>
      </c>
      <c r="P14" s="232">
        <f t="shared" si="17"/>
        <v>0</v>
      </c>
      <c r="Q14" s="132">
        <f aca="true" t="shared" si="45" ref="Q14:Q36">ROUND(P14,2)</f>
        <v>0</v>
      </c>
      <c r="R14" s="131">
        <f t="shared" si="5"/>
        <v>0</v>
      </c>
      <c r="S14" s="131">
        <f t="shared" si="18"/>
        <v>0</v>
      </c>
      <c r="T14" s="232">
        <f t="shared" si="19"/>
        <v>0</v>
      </c>
      <c r="U14" s="132">
        <f t="shared" si="6"/>
        <v>0</v>
      </c>
      <c r="V14" s="121">
        <f t="shared" si="7"/>
        <v>0</v>
      </c>
      <c r="W14" s="132">
        <f t="shared" si="20"/>
        <v>0</v>
      </c>
      <c r="X14" s="232">
        <f>25000/C14/12</f>
        <v>0.5876026189213684</v>
      </c>
      <c r="Y14" s="132">
        <f t="shared" si="8"/>
        <v>0.59</v>
      </c>
      <c r="Z14" s="132">
        <f t="shared" si="9"/>
        <v>25101.9984</v>
      </c>
      <c r="AA14" s="132">
        <f t="shared" si="21"/>
        <v>25102</v>
      </c>
      <c r="AB14" s="167">
        <f>22000/C14/12</f>
        <v>0.5170903046508042</v>
      </c>
      <c r="AC14" s="132">
        <f t="shared" si="22"/>
        <v>0.52</v>
      </c>
      <c r="AD14" s="130">
        <f t="shared" si="10"/>
        <v>22123.7952</v>
      </c>
      <c r="AE14" s="178">
        <f t="shared" si="23"/>
        <v>22124</v>
      </c>
      <c r="AF14" s="287">
        <f>14500/C14/12</f>
        <v>0.34080951897439365</v>
      </c>
      <c r="AG14" s="288">
        <f t="shared" si="24"/>
        <v>0.34</v>
      </c>
      <c r="AH14" s="289">
        <f t="shared" si="25"/>
        <v>14465.558400000002</v>
      </c>
      <c r="AI14" s="289">
        <f t="shared" si="26"/>
        <v>14466</v>
      </c>
      <c r="AJ14" s="289">
        <f t="shared" si="27"/>
        <v>0.352561571352821</v>
      </c>
      <c r="AK14" s="288">
        <f t="shared" si="28"/>
        <v>0.35</v>
      </c>
      <c r="AL14" s="289">
        <f t="shared" si="29"/>
        <v>14891.016</v>
      </c>
      <c r="AM14" s="289">
        <f t="shared" si="30"/>
        <v>14891</v>
      </c>
      <c r="AN14" s="218">
        <f>6000/C14/12</f>
        <v>0.14102462854112843</v>
      </c>
      <c r="AO14" s="167">
        <f t="shared" si="31"/>
        <v>0.14</v>
      </c>
      <c r="AP14" s="218">
        <f aca="true" t="shared" si="46" ref="AP14:AP35">AO14*C14*12</f>
        <v>5956.4064</v>
      </c>
      <c r="AQ14" s="218">
        <f t="shared" si="32"/>
        <v>5956</v>
      </c>
      <c r="AR14" s="218">
        <f t="shared" si="33"/>
        <v>0</v>
      </c>
      <c r="AS14" s="167">
        <f t="shared" si="34"/>
        <v>0</v>
      </c>
      <c r="AT14" s="218">
        <f t="shared" si="11"/>
        <v>0</v>
      </c>
      <c r="AU14" s="218">
        <f t="shared" si="12"/>
        <v>0</v>
      </c>
      <c r="AV14" s="218">
        <f>0/C14/12</f>
        <v>0</v>
      </c>
      <c r="AW14" s="218">
        <f t="shared" si="35"/>
        <v>0</v>
      </c>
      <c r="AX14" s="218">
        <f t="shared" si="36"/>
        <v>0</v>
      </c>
      <c r="AY14" s="218">
        <f t="shared" si="37"/>
        <v>0</v>
      </c>
      <c r="AZ14" s="218">
        <f t="shared" si="38"/>
        <v>0</v>
      </c>
      <c r="BA14" s="218">
        <f t="shared" si="39"/>
        <v>0</v>
      </c>
      <c r="BB14" s="218">
        <f t="shared" si="40"/>
        <v>0</v>
      </c>
      <c r="BC14" s="218">
        <f t="shared" si="41"/>
        <v>0</v>
      </c>
      <c r="BD14" s="196">
        <f t="shared" si="42"/>
        <v>2.6499999999999995</v>
      </c>
      <c r="BE14" s="212">
        <f t="shared" si="43"/>
        <v>112746.264</v>
      </c>
    </row>
    <row r="15" spans="1:57" ht="12.75">
      <c r="A15" s="205">
        <v>5</v>
      </c>
      <c r="B15" s="126" t="s">
        <v>47</v>
      </c>
      <c r="C15" s="132">
        <v>1690.91</v>
      </c>
      <c r="D15" s="121">
        <f>15000/C15/12</f>
        <v>0.7392469143833793</v>
      </c>
      <c r="E15" s="132">
        <f t="shared" si="13"/>
        <v>0.74</v>
      </c>
      <c r="F15" s="132">
        <f t="shared" si="14"/>
        <v>15015.2808</v>
      </c>
      <c r="G15" s="130">
        <f t="shared" si="0"/>
        <v>15015</v>
      </c>
      <c r="H15" s="232">
        <f>15000/C15/12</f>
        <v>0.7392469143833793</v>
      </c>
      <c r="I15" s="132">
        <f t="shared" si="1"/>
        <v>0.74</v>
      </c>
      <c r="J15" s="130">
        <f t="shared" si="2"/>
        <v>15015.2808</v>
      </c>
      <c r="K15" s="130">
        <f t="shared" si="15"/>
        <v>15015</v>
      </c>
      <c r="L15" s="232">
        <f>0/C15/12</f>
        <v>0</v>
      </c>
      <c r="M15" s="167">
        <f t="shared" si="44"/>
        <v>0</v>
      </c>
      <c r="N15" s="130">
        <f t="shared" si="4"/>
        <v>0</v>
      </c>
      <c r="O15" s="130">
        <f t="shared" si="16"/>
        <v>0</v>
      </c>
      <c r="P15" s="232">
        <f t="shared" si="17"/>
        <v>0</v>
      </c>
      <c r="Q15" s="132">
        <f t="shared" si="45"/>
        <v>0</v>
      </c>
      <c r="R15" s="131">
        <f t="shared" si="5"/>
        <v>0</v>
      </c>
      <c r="S15" s="131">
        <f t="shared" si="18"/>
        <v>0</v>
      </c>
      <c r="T15" s="232">
        <f>95000/C15/12</f>
        <v>4.681897124428069</v>
      </c>
      <c r="U15" s="132">
        <f t="shared" si="6"/>
        <v>4.68</v>
      </c>
      <c r="V15" s="121">
        <f t="shared" si="7"/>
        <v>94961.5056</v>
      </c>
      <c r="W15" s="132">
        <f t="shared" si="20"/>
        <v>94962</v>
      </c>
      <c r="X15" s="232">
        <f>0/C15/12</f>
        <v>0</v>
      </c>
      <c r="Y15" s="132">
        <f t="shared" si="8"/>
        <v>0</v>
      </c>
      <c r="Z15" s="132">
        <f t="shared" si="9"/>
        <v>0</v>
      </c>
      <c r="AA15" s="132">
        <f t="shared" si="21"/>
        <v>0</v>
      </c>
      <c r="AB15" s="167">
        <f>8500/C15/12</f>
        <v>0.41890658481724824</v>
      </c>
      <c r="AC15" s="132">
        <f t="shared" si="22"/>
        <v>0.42</v>
      </c>
      <c r="AD15" s="130">
        <f t="shared" si="10"/>
        <v>8522.186399999999</v>
      </c>
      <c r="AE15" s="178">
        <f t="shared" si="23"/>
        <v>8522</v>
      </c>
      <c r="AF15" s="287">
        <f>21000/C15/12</f>
        <v>1.0349456801367312</v>
      </c>
      <c r="AG15" s="288">
        <f t="shared" si="24"/>
        <v>1.03</v>
      </c>
      <c r="AH15" s="289">
        <f t="shared" si="25"/>
        <v>20899.6476</v>
      </c>
      <c r="AI15" s="289">
        <f t="shared" si="26"/>
        <v>20900</v>
      </c>
      <c r="AJ15" s="289">
        <f t="shared" si="27"/>
        <v>0.7392469143833793</v>
      </c>
      <c r="AK15" s="288">
        <f t="shared" si="28"/>
        <v>0.74</v>
      </c>
      <c r="AL15" s="289">
        <f t="shared" si="29"/>
        <v>15015.2808</v>
      </c>
      <c r="AM15" s="289">
        <f t="shared" si="30"/>
        <v>15015</v>
      </c>
      <c r="AN15" s="218">
        <f>4500/C15/12</f>
        <v>0.2217740743150138</v>
      </c>
      <c r="AO15" s="167">
        <f t="shared" si="31"/>
        <v>0.22</v>
      </c>
      <c r="AP15" s="218">
        <f t="shared" si="46"/>
        <v>4464.0024</v>
      </c>
      <c r="AQ15" s="218">
        <f t="shared" si="32"/>
        <v>4464</v>
      </c>
      <c r="AR15" s="218">
        <f t="shared" si="33"/>
        <v>0</v>
      </c>
      <c r="AS15" s="167">
        <f t="shared" si="34"/>
        <v>0</v>
      </c>
      <c r="AT15" s="218">
        <f t="shared" si="11"/>
        <v>0</v>
      </c>
      <c r="AU15" s="218">
        <f t="shared" si="12"/>
        <v>0</v>
      </c>
      <c r="AV15" s="218">
        <f aca="true" t="shared" si="47" ref="AV15:AV35">0/C15/12</f>
        <v>0</v>
      </c>
      <c r="AW15" s="218">
        <f t="shared" si="35"/>
        <v>0</v>
      </c>
      <c r="AX15" s="218">
        <f t="shared" si="36"/>
        <v>0</v>
      </c>
      <c r="AY15" s="218">
        <f t="shared" si="37"/>
        <v>0</v>
      </c>
      <c r="AZ15" s="218">
        <f t="shared" si="38"/>
        <v>0</v>
      </c>
      <c r="BA15" s="218">
        <f t="shared" si="39"/>
        <v>0</v>
      </c>
      <c r="BB15" s="218">
        <f t="shared" si="40"/>
        <v>0</v>
      </c>
      <c r="BC15" s="218">
        <f t="shared" si="41"/>
        <v>0</v>
      </c>
      <c r="BD15" s="196">
        <f t="shared" si="42"/>
        <v>8.57</v>
      </c>
      <c r="BE15" s="212">
        <f t="shared" si="43"/>
        <v>173893.1844</v>
      </c>
    </row>
    <row r="16" spans="1:57" ht="12.75">
      <c r="A16" s="205">
        <v>6</v>
      </c>
      <c r="B16" s="126" t="s">
        <v>48</v>
      </c>
      <c r="C16" s="132">
        <v>1687.44</v>
      </c>
      <c r="D16" s="121">
        <f>0/C16/12</f>
        <v>0</v>
      </c>
      <c r="E16" s="132">
        <f t="shared" si="13"/>
        <v>0</v>
      </c>
      <c r="F16" s="132">
        <f t="shared" si="14"/>
        <v>0</v>
      </c>
      <c r="G16" s="130">
        <f t="shared" si="0"/>
        <v>0</v>
      </c>
      <c r="H16" s="232">
        <f>0/C16/12</f>
        <v>0</v>
      </c>
      <c r="I16" s="132">
        <f t="shared" si="1"/>
        <v>0</v>
      </c>
      <c r="J16" s="130">
        <f t="shared" si="2"/>
        <v>0</v>
      </c>
      <c r="K16" s="130">
        <f t="shared" si="15"/>
        <v>0</v>
      </c>
      <c r="L16" s="232">
        <f t="shared" si="3"/>
        <v>0</v>
      </c>
      <c r="M16" s="167">
        <f t="shared" si="44"/>
        <v>0</v>
      </c>
      <c r="N16" s="130">
        <f t="shared" si="4"/>
        <v>0</v>
      </c>
      <c r="O16" s="136">
        <f t="shared" si="16"/>
        <v>0</v>
      </c>
      <c r="P16" s="232">
        <f t="shared" si="17"/>
        <v>0</v>
      </c>
      <c r="Q16" s="132">
        <f t="shared" si="45"/>
        <v>0</v>
      </c>
      <c r="R16" s="131">
        <f t="shared" si="5"/>
        <v>0</v>
      </c>
      <c r="S16" s="131">
        <f t="shared" si="18"/>
        <v>0</v>
      </c>
      <c r="T16" s="232">
        <f t="shared" si="19"/>
        <v>0</v>
      </c>
      <c r="U16" s="132">
        <f t="shared" si="6"/>
        <v>0</v>
      </c>
      <c r="V16" s="121">
        <f t="shared" si="7"/>
        <v>0</v>
      </c>
      <c r="W16" s="132">
        <f t="shared" si="20"/>
        <v>0</v>
      </c>
      <c r="X16" s="232">
        <f>41000/C16/12</f>
        <v>2.0247633496104553</v>
      </c>
      <c r="Y16" s="132">
        <f t="shared" si="8"/>
        <v>2.02</v>
      </c>
      <c r="Z16" s="132">
        <f t="shared" si="9"/>
        <v>40903.5456</v>
      </c>
      <c r="AA16" s="132">
        <f t="shared" si="21"/>
        <v>40904</v>
      </c>
      <c r="AB16" s="167">
        <f>8500/C16/12</f>
        <v>0.4197680115046066</v>
      </c>
      <c r="AC16" s="132">
        <f t="shared" si="22"/>
        <v>0.42</v>
      </c>
      <c r="AD16" s="130">
        <f t="shared" si="10"/>
        <v>8504.6976</v>
      </c>
      <c r="AE16" s="178">
        <f t="shared" si="23"/>
        <v>8505</v>
      </c>
      <c r="AF16" s="287">
        <f>21000/C16/12</f>
        <v>1.0370739107760867</v>
      </c>
      <c r="AG16" s="288">
        <f t="shared" si="24"/>
        <v>1.04</v>
      </c>
      <c r="AH16" s="289">
        <f t="shared" si="25"/>
        <v>21059.251200000002</v>
      </c>
      <c r="AI16" s="289">
        <f t="shared" si="26"/>
        <v>21059</v>
      </c>
      <c r="AJ16" s="289">
        <f t="shared" si="27"/>
        <v>0.7407670791257762</v>
      </c>
      <c r="AK16" s="288">
        <f t="shared" si="28"/>
        <v>0.74</v>
      </c>
      <c r="AL16" s="289">
        <f t="shared" si="29"/>
        <v>14984.4672</v>
      </c>
      <c r="AM16" s="289">
        <f t="shared" si="30"/>
        <v>14984</v>
      </c>
      <c r="AN16" s="218">
        <f>4500/C16/12</f>
        <v>0.22223012373773288</v>
      </c>
      <c r="AO16" s="167">
        <f t="shared" si="31"/>
        <v>0.22</v>
      </c>
      <c r="AP16" s="218">
        <f t="shared" si="46"/>
        <v>4454.8416</v>
      </c>
      <c r="AQ16" s="218">
        <f t="shared" si="32"/>
        <v>4455</v>
      </c>
      <c r="AR16" s="218">
        <f t="shared" si="33"/>
        <v>0</v>
      </c>
      <c r="AS16" s="167">
        <f t="shared" si="34"/>
        <v>0</v>
      </c>
      <c r="AT16" s="218">
        <f t="shared" si="11"/>
        <v>0</v>
      </c>
      <c r="AU16" s="218">
        <f t="shared" si="12"/>
        <v>0</v>
      </c>
      <c r="AV16" s="218">
        <f>105005/C16/12</f>
        <v>5.185616476240143</v>
      </c>
      <c r="AW16" s="218">
        <f t="shared" si="35"/>
        <v>5.19</v>
      </c>
      <c r="AX16" s="218">
        <f t="shared" si="36"/>
        <v>105093.76320000002</v>
      </c>
      <c r="AY16" s="218">
        <f t="shared" si="37"/>
        <v>105094</v>
      </c>
      <c r="AZ16" s="218">
        <f t="shared" si="38"/>
        <v>0</v>
      </c>
      <c r="BA16" s="218">
        <f t="shared" si="39"/>
        <v>0</v>
      </c>
      <c r="BB16" s="218">
        <f t="shared" si="40"/>
        <v>0</v>
      </c>
      <c r="BC16" s="218">
        <f t="shared" si="41"/>
        <v>0</v>
      </c>
      <c r="BD16" s="196">
        <f t="shared" si="42"/>
        <v>9.629999999999999</v>
      </c>
      <c r="BE16" s="212">
        <f t="shared" si="43"/>
        <v>195000.56639999998</v>
      </c>
    </row>
    <row r="17" spans="1:57" ht="12.75">
      <c r="A17" s="205">
        <v>7</v>
      </c>
      <c r="B17" s="126" t="s">
        <v>49</v>
      </c>
      <c r="C17" s="132">
        <v>3399.08</v>
      </c>
      <c r="D17" s="121">
        <f>10000/C17/12</f>
        <v>0.2451643778120354</v>
      </c>
      <c r="E17" s="132">
        <f t="shared" si="13"/>
        <v>0.25</v>
      </c>
      <c r="F17" s="132">
        <f t="shared" si="14"/>
        <v>10197.24</v>
      </c>
      <c r="G17" s="130">
        <f t="shared" si="0"/>
        <v>10197</v>
      </c>
      <c r="H17" s="232">
        <f>15000/C17/12</f>
        <v>0.3677465667180531</v>
      </c>
      <c r="I17" s="132">
        <f t="shared" si="1"/>
        <v>0.37</v>
      </c>
      <c r="J17" s="130">
        <f t="shared" si="2"/>
        <v>15091.9152</v>
      </c>
      <c r="K17" s="130">
        <f t="shared" si="15"/>
        <v>15092</v>
      </c>
      <c r="L17" s="232">
        <f t="shared" si="3"/>
        <v>0</v>
      </c>
      <c r="M17" s="167">
        <f t="shared" si="44"/>
        <v>0</v>
      </c>
      <c r="N17" s="130">
        <f t="shared" si="4"/>
        <v>0</v>
      </c>
      <c r="O17" s="130">
        <f t="shared" si="16"/>
        <v>0</v>
      </c>
      <c r="P17" s="232">
        <f>12000/C17/12</f>
        <v>0.2941972533744425</v>
      </c>
      <c r="Q17" s="132">
        <f t="shared" si="45"/>
        <v>0.29</v>
      </c>
      <c r="R17" s="131">
        <f t="shared" si="5"/>
        <v>11828.7984</v>
      </c>
      <c r="S17" s="131">
        <f t="shared" si="18"/>
        <v>11829</v>
      </c>
      <c r="T17" s="232">
        <f t="shared" si="19"/>
        <v>0</v>
      </c>
      <c r="U17" s="132">
        <f t="shared" si="6"/>
        <v>0</v>
      </c>
      <c r="V17" s="121">
        <f t="shared" si="7"/>
        <v>0</v>
      </c>
      <c r="W17" s="132">
        <f t="shared" si="20"/>
        <v>0</v>
      </c>
      <c r="X17" s="232">
        <f>0/C17/12</f>
        <v>0</v>
      </c>
      <c r="Y17" s="132">
        <f t="shared" si="8"/>
        <v>0</v>
      </c>
      <c r="Z17" s="132">
        <f t="shared" si="9"/>
        <v>0</v>
      </c>
      <c r="AA17" s="132">
        <f t="shared" si="21"/>
        <v>0</v>
      </c>
      <c r="AB17" s="167">
        <f>40000/C17/12</f>
        <v>0.9806575112481416</v>
      </c>
      <c r="AC17" s="132">
        <f t="shared" si="22"/>
        <v>0.98</v>
      </c>
      <c r="AD17" s="130">
        <f t="shared" si="10"/>
        <v>39973.1808</v>
      </c>
      <c r="AE17" s="178">
        <f t="shared" si="23"/>
        <v>39973</v>
      </c>
      <c r="AF17" s="287">
        <f>15000/C17/12</f>
        <v>0.3677465667180531</v>
      </c>
      <c r="AG17" s="288">
        <f t="shared" si="24"/>
        <v>0.37</v>
      </c>
      <c r="AH17" s="289">
        <f t="shared" si="25"/>
        <v>15091.9152</v>
      </c>
      <c r="AI17" s="289">
        <f t="shared" si="26"/>
        <v>15092</v>
      </c>
      <c r="AJ17" s="289">
        <f t="shared" si="27"/>
        <v>0.3677465667180531</v>
      </c>
      <c r="AK17" s="288">
        <f t="shared" si="28"/>
        <v>0.37</v>
      </c>
      <c r="AL17" s="289">
        <f t="shared" si="29"/>
        <v>15091.9152</v>
      </c>
      <c r="AM17" s="289">
        <f t="shared" si="30"/>
        <v>15092</v>
      </c>
      <c r="AN17" s="218">
        <f>9000/C17/12</f>
        <v>0.22064794003083188</v>
      </c>
      <c r="AO17" s="167">
        <f t="shared" si="31"/>
        <v>0.22</v>
      </c>
      <c r="AP17" s="218">
        <f t="shared" si="46"/>
        <v>8973.5712</v>
      </c>
      <c r="AQ17" s="218">
        <f t="shared" si="32"/>
        <v>8974</v>
      </c>
      <c r="AR17" s="218">
        <f t="shared" si="33"/>
        <v>0</v>
      </c>
      <c r="AS17" s="167">
        <f t="shared" si="34"/>
        <v>0</v>
      </c>
      <c r="AT17" s="218">
        <f t="shared" si="11"/>
        <v>0</v>
      </c>
      <c r="AU17" s="218">
        <f t="shared" si="12"/>
        <v>0</v>
      </c>
      <c r="AV17" s="218">
        <f>184795/C17/12</f>
        <v>4.530515119777509</v>
      </c>
      <c r="AW17" s="218">
        <f t="shared" si="35"/>
        <v>4.53</v>
      </c>
      <c r="AX17" s="218">
        <f t="shared" si="36"/>
        <v>184773.98880000002</v>
      </c>
      <c r="AY17" s="218">
        <f t="shared" si="37"/>
        <v>184774</v>
      </c>
      <c r="AZ17" s="218">
        <f t="shared" si="38"/>
        <v>0</v>
      </c>
      <c r="BA17" s="218">
        <f t="shared" si="39"/>
        <v>0</v>
      </c>
      <c r="BB17" s="218">
        <f t="shared" si="40"/>
        <v>0</v>
      </c>
      <c r="BC17" s="218">
        <f t="shared" si="41"/>
        <v>0</v>
      </c>
      <c r="BD17" s="196">
        <f t="shared" si="42"/>
        <v>7.380000000000001</v>
      </c>
      <c r="BE17" s="212">
        <f t="shared" si="43"/>
        <v>301022.5248</v>
      </c>
    </row>
    <row r="18" spans="1:57" ht="12.75">
      <c r="A18" s="205">
        <v>8</v>
      </c>
      <c r="B18" s="126" t="s">
        <v>50</v>
      </c>
      <c r="C18" s="132">
        <v>1687.1</v>
      </c>
      <c r="D18" s="121">
        <f>0/C18/12</f>
        <v>0</v>
      </c>
      <c r="E18" s="132">
        <f t="shared" si="13"/>
        <v>0</v>
      </c>
      <c r="F18" s="132">
        <f t="shared" si="14"/>
        <v>0</v>
      </c>
      <c r="G18" s="130">
        <f t="shared" si="0"/>
        <v>0</v>
      </c>
      <c r="H18" s="232">
        <f>0/C18/12</f>
        <v>0</v>
      </c>
      <c r="I18" s="132">
        <f t="shared" si="1"/>
        <v>0</v>
      </c>
      <c r="J18" s="130">
        <f t="shared" si="2"/>
        <v>0</v>
      </c>
      <c r="K18" s="130">
        <f t="shared" si="15"/>
        <v>0</v>
      </c>
      <c r="L18" s="232">
        <f t="shared" si="3"/>
        <v>0</v>
      </c>
      <c r="M18" s="167">
        <f t="shared" si="44"/>
        <v>0</v>
      </c>
      <c r="N18" s="130">
        <f t="shared" si="4"/>
        <v>0</v>
      </c>
      <c r="O18" s="130">
        <f t="shared" si="16"/>
        <v>0</v>
      </c>
      <c r="P18" s="232">
        <f t="shared" si="17"/>
        <v>0</v>
      </c>
      <c r="Q18" s="132">
        <f t="shared" si="45"/>
        <v>0</v>
      </c>
      <c r="R18" s="131">
        <f t="shared" si="5"/>
        <v>0</v>
      </c>
      <c r="S18" s="131">
        <f t="shared" si="18"/>
        <v>0</v>
      </c>
      <c r="T18" s="232">
        <f t="shared" si="19"/>
        <v>0</v>
      </c>
      <c r="U18" s="132">
        <f t="shared" si="6"/>
        <v>0</v>
      </c>
      <c r="V18" s="121">
        <f t="shared" si="7"/>
        <v>0</v>
      </c>
      <c r="W18" s="132">
        <f t="shared" si="20"/>
        <v>0</v>
      </c>
      <c r="X18" s="232">
        <f>0/C18/12</f>
        <v>0</v>
      </c>
      <c r="Y18" s="132">
        <f t="shared" si="8"/>
        <v>0</v>
      </c>
      <c r="Z18" s="132">
        <f t="shared" si="9"/>
        <v>0</v>
      </c>
      <c r="AA18" s="132">
        <f t="shared" si="21"/>
        <v>0</v>
      </c>
      <c r="AB18" s="167">
        <f>17000/C18/12</f>
        <v>0.8397052140754352</v>
      </c>
      <c r="AC18" s="132">
        <f t="shared" si="22"/>
        <v>0.84</v>
      </c>
      <c r="AD18" s="130">
        <f t="shared" si="10"/>
        <v>17005.967999999997</v>
      </c>
      <c r="AE18" s="178">
        <f t="shared" si="23"/>
        <v>17006</v>
      </c>
      <c r="AF18" s="287">
        <f>21000/C18/12</f>
        <v>1.0372829115049493</v>
      </c>
      <c r="AG18" s="288">
        <f t="shared" si="24"/>
        <v>1.04</v>
      </c>
      <c r="AH18" s="289">
        <f t="shared" si="25"/>
        <v>21055.008</v>
      </c>
      <c r="AI18" s="289">
        <f t="shared" si="26"/>
        <v>21055</v>
      </c>
      <c r="AJ18" s="289">
        <f t="shared" si="27"/>
        <v>0.7409163653606781</v>
      </c>
      <c r="AK18" s="288">
        <f t="shared" si="28"/>
        <v>0.74</v>
      </c>
      <c r="AL18" s="289">
        <f t="shared" si="29"/>
        <v>14981.448</v>
      </c>
      <c r="AM18" s="289">
        <f t="shared" si="30"/>
        <v>14981</v>
      </c>
      <c r="AN18" s="218">
        <f>4500/C18/12</f>
        <v>0.22227490960820342</v>
      </c>
      <c r="AO18" s="167">
        <f t="shared" si="31"/>
        <v>0.22</v>
      </c>
      <c r="AP18" s="218">
        <f t="shared" si="46"/>
        <v>4453.9439999999995</v>
      </c>
      <c r="AQ18" s="218">
        <f t="shared" si="32"/>
        <v>4454</v>
      </c>
      <c r="AR18" s="218">
        <f t="shared" si="33"/>
        <v>0</v>
      </c>
      <c r="AS18" s="167">
        <f t="shared" si="34"/>
        <v>0</v>
      </c>
      <c r="AT18" s="218">
        <f t="shared" si="11"/>
        <v>0</v>
      </c>
      <c r="AU18" s="218">
        <f t="shared" si="12"/>
        <v>0</v>
      </c>
      <c r="AV18" s="218">
        <f>105005/C18/12</f>
        <v>5.186661529646534</v>
      </c>
      <c r="AW18" s="218">
        <f t="shared" si="35"/>
        <v>5.19</v>
      </c>
      <c r="AX18" s="218">
        <f t="shared" si="36"/>
        <v>105072.58800000002</v>
      </c>
      <c r="AY18" s="218">
        <f t="shared" si="37"/>
        <v>105073</v>
      </c>
      <c r="AZ18" s="218">
        <f t="shared" si="38"/>
        <v>0</v>
      </c>
      <c r="BA18" s="218">
        <f t="shared" si="39"/>
        <v>0</v>
      </c>
      <c r="BB18" s="218">
        <f t="shared" si="40"/>
        <v>0</v>
      </c>
      <c r="BC18" s="218">
        <f t="shared" si="41"/>
        <v>0</v>
      </c>
      <c r="BD18" s="196">
        <f t="shared" si="42"/>
        <v>8.030000000000001</v>
      </c>
      <c r="BE18" s="212">
        <f t="shared" si="43"/>
        <v>162568.956</v>
      </c>
    </row>
    <row r="19" spans="1:57" ht="12.75">
      <c r="A19" s="205">
        <v>9</v>
      </c>
      <c r="B19" s="126" t="s">
        <v>51</v>
      </c>
      <c r="C19" s="132">
        <v>1721.5</v>
      </c>
      <c r="D19" s="121">
        <f>10000/C19/12</f>
        <v>0.4840739665020815</v>
      </c>
      <c r="E19" s="132">
        <f t="shared" si="13"/>
        <v>0.48</v>
      </c>
      <c r="F19" s="132">
        <f t="shared" si="14"/>
        <v>9915.84</v>
      </c>
      <c r="G19" s="130">
        <f t="shared" si="0"/>
        <v>9916</v>
      </c>
      <c r="H19" s="232">
        <f>0/C19/12</f>
        <v>0</v>
      </c>
      <c r="I19" s="132">
        <f t="shared" si="1"/>
        <v>0</v>
      </c>
      <c r="J19" s="130">
        <f t="shared" si="2"/>
        <v>0</v>
      </c>
      <c r="K19" s="130">
        <f t="shared" si="15"/>
        <v>0</v>
      </c>
      <c r="L19" s="232">
        <f t="shared" si="3"/>
        <v>0</v>
      </c>
      <c r="M19" s="167">
        <f t="shared" si="44"/>
        <v>0</v>
      </c>
      <c r="N19" s="130">
        <f t="shared" si="4"/>
        <v>0</v>
      </c>
      <c r="O19" s="136">
        <f t="shared" si="16"/>
        <v>0</v>
      </c>
      <c r="P19" s="232">
        <f t="shared" si="17"/>
        <v>0</v>
      </c>
      <c r="Q19" s="132">
        <f t="shared" si="45"/>
        <v>0</v>
      </c>
      <c r="R19" s="131">
        <f t="shared" si="5"/>
        <v>0</v>
      </c>
      <c r="S19" s="131">
        <f t="shared" si="18"/>
        <v>0</v>
      </c>
      <c r="T19" s="232">
        <f t="shared" si="19"/>
        <v>0</v>
      </c>
      <c r="U19" s="132">
        <f t="shared" si="6"/>
        <v>0</v>
      </c>
      <c r="V19" s="121">
        <f t="shared" si="7"/>
        <v>0</v>
      </c>
      <c r="W19" s="132">
        <f t="shared" si="20"/>
        <v>0</v>
      </c>
      <c r="X19" s="232">
        <f>41000/C19/12</f>
        <v>1.9847032626585344</v>
      </c>
      <c r="Y19" s="132">
        <f t="shared" si="8"/>
        <v>1.98</v>
      </c>
      <c r="Z19" s="132">
        <f t="shared" si="9"/>
        <v>40902.840000000004</v>
      </c>
      <c r="AA19" s="132">
        <f t="shared" si="21"/>
        <v>40903</v>
      </c>
      <c r="AB19" s="167">
        <f>13500/C19/12</f>
        <v>0.65349985477781</v>
      </c>
      <c r="AC19" s="132">
        <f t="shared" si="22"/>
        <v>0.65</v>
      </c>
      <c r="AD19" s="130">
        <f t="shared" si="10"/>
        <v>13427.7</v>
      </c>
      <c r="AE19" s="178">
        <f t="shared" si="23"/>
        <v>13428</v>
      </c>
      <c r="AF19" s="287">
        <f>7000/C19/12</f>
        <v>0.3388517765514571</v>
      </c>
      <c r="AG19" s="288">
        <f t="shared" si="24"/>
        <v>0.34</v>
      </c>
      <c r="AH19" s="289">
        <f t="shared" si="25"/>
        <v>7023.720000000001</v>
      </c>
      <c r="AI19" s="289">
        <f t="shared" si="26"/>
        <v>7024</v>
      </c>
      <c r="AJ19" s="289">
        <f t="shared" si="27"/>
        <v>0.7261109497531223</v>
      </c>
      <c r="AK19" s="288">
        <f t="shared" si="28"/>
        <v>0.73</v>
      </c>
      <c r="AL19" s="289">
        <f t="shared" si="29"/>
        <v>15080.34</v>
      </c>
      <c r="AM19" s="289">
        <f t="shared" si="30"/>
        <v>15080</v>
      </c>
      <c r="AN19" s="218">
        <f>4500/C19/12</f>
        <v>0.21783328492593668</v>
      </c>
      <c r="AO19" s="167">
        <f t="shared" si="31"/>
        <v>0.22</v>
      </c>
      <c r="AP19" s="218">
        <f t="shared" si="46"/>
        <v>4544.76</v>
      </c>
      <c r="AQ19" s="218">
        <f t="shared" si="32"/>
        <v>4545</v>
      </c>
      <c r="AR19" s="218">
        <f t="shared" si="33"/>
        <v>0</v>
      </c>
      <c r="AS19" s="167">
        <f t="shared" si="34"/>
        <v>0</v>
      </c>
      <c r="AT19" s="218">
        <f t="shared" si="11"/>
        <v>0</v>
      </c>
      <c r="AU19" s="218">
        <f t="shared" si="12"/>
        <v>0</v>
      </c>
      <c r="AV19" s="218">
        <f t="shared" si="47"/>
        <v>0</v>
      </c>
      <c r="AW19" s="218">
        <f t="shared" si="35"/>
        <v>0</v>
      </c>
      <c r="AX19" s="218">
        <f t="shared" si="36"/>
        <v>0</v>
      </c>
      <c r="AY19" s="218">
        <f t="shared" si="37"/>
        <v>0</v>
      </c>
      <c r="AZ19" s="218">
        <f t="shared" si="38"/>
        <v>0</v>
      </c>
      <c r="BA19" s="218">
        <f t="shared" si="39"/>
        <v>0</v>
      </c>
      <c r="BB19" s="218">
        <f t="shared" si="40"/>
        <v>0</v>
      </c>
      <c r="BC19" s="218">
        <f t="shared" si="41"/>
        <v>0</v>
      </c>
      <c r="BD19" s="196">
        <f t="shared" si="42"/>
        <v>4.4</v>
      </c>
      <c r="BE19" s="212">
        <f t="shared" si="43"/>
        <v>90895.20000000001</v>
      </c>
    </row>
    <row r="20" spans="1:57" ht="12.75">
      <c r="A20" s="205">
        <v>10</v>
      </c>
      <c r="B20" s="126" t="s">
        <v>52</v>
      </c>
      <c r="C20" s="132">
        <v>3372.81</v>
      </c>
      <c r="D20" s="121">
        <f>28000/C20/12</f>
        <v>0.69180693052183</v>
      </c>
      <c r="E20" s="132">
        <f t="shared" si="13"/>
        <v>0.69</v>
      </c>
      <c r="F20" s="132">
        <f t="shared" si="14"/>
        <v>27926.866799999996</v>
      </c>
      <c r="G20" s="130">
        <f t="shared" si="0"/>
        <v>27927</v>
      </c>
      <c r="H20" s="232">
        <f>25000/C20/12</f>
        <v>0.6176847593944911</v>
      </c>
      <c r="I20" s="132">
        <f t="shared" si="1"/>
        <v>0.62</v>
      </c>
      <c r="J20" s="130">
        <f t="shared" si="2"/>
        <v>25093.706399999995</v>
      </c>
      <c r="K20" s="130">
        <f t="shared" si="15"/>
        <v>25094</v>
      </c>
      <c r="L20" s="232">
        <f>0/C20/12</f>
        <v>0</v>
      </c>
      <c r="M20" s="167">
        <f t="shared" si="44"/>
        <v>0</v>
      </c>
      <c r="N20" s="130">
        <f t="shared" si="4"/>
        <v>0</v>
      </c>
      <c r="O20" s="130">
        <f t="shared" si="16"/>
        <v>0</v>
      </c>
      <c r="P20" s="232">
        <f t="shared" si="17"/>
        <v>0</v>
      </c>
      <c r="Q20" s="132">
        <f t="shared" si="45"/>
        <v>0</v>
      </c>
      <c r="R20" s="131">
        <f t="shared" si="5"/>
        <v>0</v>
      </c>
      <c r="S20" s="131">
        <f t="shared" si="18"/>
        <v>0</v>
      </c>
      <c r="T20" s="232">
        <f t="shared" si="19"/>
        <v>0</v>
      </c>
      <c r="U20" s="132">
        <f t="shared" si="6"/>
        <v>0</v>
      </c>
      <c r="V20" s="121">
        <f t="shared" si="7"/>
        <v>0</v>
      </c>
      <c r="W20" s="132">
        <f t="shared" si="20"/>
        <v>0</v>
      </c>
      <c r="X20" s="232">
        <f>75000/C20/12</f>
        <v>1.8530542781834731</v>
      </c>
      <c r="Y20" s="132">
        <f t="shared" si="8"/>
        <v>1.85</v>
      </c>
      <c r="Z20" s="132">
        <f t="shared" si="9"/>
        <v>74876.38200000001</v>
      </c>
      <c r="AA20" s="132">
        <f t="shared" si="21"/>
        <v>74876</v>
      </c>
      <c r="AB20" s="167">
        <f>38500/C20/12</f>
        <v>0.9512345294675163</v>
      </c>
      <c r="AC20" s="132">
        <f t="shared" si="22"/>
        <v>0.95</v>
      </c>
      <c r="AD20" s="130">
        <f t="shared" si="10"/>
        <v>38450.034</v>
      </c>
      <c r="AE20" s="178">
        <f t="shared" si="23"/>
        <v>38450</v>
      </c>
      <c r="AF20" s="287">
        <f>0/C20/12</f>
        <v>0</v>
      </c>
      <c r="AG20" s="288">
        <f t="shared" si="24"/>
        <v>0</v>
      </c>
      <c r="AH20" s="289">
        <f t="shared" si="25"/>
        <v>0</v>
      </c>
      <c r="AI20" s="289">
        <f t="shared" si="26"/>
        <v>0</v>
      </c>
      <c r="AJ20" s="289">
        <f t="shared" si="27"/>
        <v>0.37061085563669466</v>
      </c>
      <c r="AK20" s="288">
        <f t="shared" si="28"/>
        <v>0.37</v>
      </c>
      <c r="AL20" s="289">
        <f t="shared" si="29"/>
        <v>14975.276399999999</v>
      </c>
      <c r="AM20" s="289">
        <f t="shared" si="30"/>
        <v>14975</v>
      </c>
      <c r="AN20" s="218">
        <f>9000/C20/12</f>
        <v>0.22236651338201677</v>
      </c>
      <c r="AO20" s="167">
        <f t="shared" si="31"/>
        <v>0.22</v>
      </c>
      <c r="AP20" s="218">
        <f t="shared" si="46"/>
        <v>8904.2184</v>
      </c>
      <c r="AQ20" s="218">
        <f t="shared" si="32"/>
        <v>8904</v>
      </c>
      <c r="AR20" s="218">
        <f t="shared" si="33"/>
        <v>0</v>
      </c>
      <c r="AS20" s="167">
        <f t="shared" si="34"/>
        <v>0</v>
      </c>
      <c r="AT20" s="218">
        <f>AS20*C20*12</f>
        <v>0</v>
      </c>
      <c r="AU20" s="218">
        <f t="shared" si="12"/>
        <v>0</v>
      </c>
      <c r="AV20" s="218">
        <f t="shared" si="47"/>
        <v>0</v>
      </c>
      <c r="AW20" s="218">
        <f t="shared" si="35"/>
        <v>0</v>
      </c>
      <c r="AX20" s="218">
        <f t="shared" si="36"/>
        <v>0</v>
      </c>
      <c r="AY20" s="218">
        <f t="shared" si="37"/>
        <v>0</v>
      </c>
      <c r="AZ20" s="218">
        <f t="shared" si="38"/>
        <v>0</v>
      </c>
      <c r="BA20" s="218">
        <f t="shared" si="39"/>
        <v>0</v>
      </c>
      <c r="BB20" s="218">
        <f t="shared" si="40"/>
        <v>0</v>
      </c>
      <c r="BC20" s="218">
        <f t="shared" si="41"/>
        <v>0</v>
      </c>
      <c r="BD20" s="196">
        <f t="shared" si="42"/>
        <v>4.699999999999999</v>
      </c>
      <c r="BE20" s="212">
        <f t="shared" si="43"/>
        <v>190226.48399999997</v>
      </c>
    </row>
    <row r="21" spans="1:57" ht="12.75">
      <c r="A21" s="205">
        <v>11</v>
      </c>
      <c r="B21" s="126" t="s">
        <v>53</v>
      </c>
      <c r="C21" s="132">
        <v>3432.5</v>
      </c>
      <c r="D21" s="121">
        <f>0/C21/12</f>
        <v>0</v>
      </c>
      <c r="E21" s="132">
        <f t="shared" si="13"/>
        <v>0</v>
      </c>
      <c r="F21" s="132">
        <f t="shared" si="14"/>
        <v>0</v>
      </c>
      <c r="G21" s="130">
        <f t="shared" si="0"/>
        <v>0</v>
      </c>
      <c r="H21" s="232">
        <f>15000/C21/12</f>
        <v>0.36416605972323385</v>
      </c>
      <c r="I21" s="132">
        <f t="shared" si="1"/>
        <v>0.36</v>
      </c>
      <c r="J21" s="130">
        <f t="shared" si="2"/>
        <v>14828.400000000001</v>
      </c>
      <c r="K21" s="130">
        <f t="shared" si="15"/>
        <v>14828</v>
      </c>
      <c r="L21" s="232">
        <f t="shared" si="3"/>
        <v>0</v>
      </c>
      <c r="M21" s="167">
        <f t="shared" si="44"/>
        <v>0</v>
      </c>
      <c r="N21" s="130">
        <f t="shared" si="4"/>
        <v>0</v>
      </c>
      <c r="O21" s="130">
        <f t="shared" si="16"/>
        <v>0</v>
      </c>
      <c r="P21" s="232">
        <f t="shared" si="17"/>
        <v>0</v>
      </c>
      <c r="Q21" s="132">
        <f t="shared" si="45"/>
        <v>0</v>
      </c>
      <c r="R21" s="131">
        <f t="shared" si="5"/>
        <v>0</v>
      </c>
      <c r="S21" s="131">
        <f t="shared" si="18"/>
        <v>0</v>
      </c>
      <c r="T21" s="232">
        <f t="shared" si="19"/>
        <v>0</v>
      </c>
      <c r="U21" s="132">
        <f t="shared" si="6"/>
        <v>0</v>
      </c>
      <c r="V21" s="121">
        <f t="shared" si="7"/>
        <v>0</v>
      </c>
      <c r="W21" s="132">
        <f t="shared" si="20"/>
        <v>0</v>
      </c>
      <c r="X21" s="232">
        <f>0/C21/12</f>
        <v>0</v>
      </c>
      <c r="Y21" s="132">
        <f t="shared" si="8"/>
        <v>0</v>
      </c>
      <c r="Z21" s="132">
        <f t="shared" si="9"/>
        <v>0</v>
      </c>
      <c r="AA21" s="132">
        <f t="shared" si="21"/>
        <v>0</v>
      </c>
      <c r="AB21" s="167">
        <f>32000/C21/12</f>
        <v>0.7768875940762321</v>
      </c>
      <c r="AC21" s="132">
        <f t="shared" si="22"/>
        <v>0.78</v>
      </c>
      <c r="AD21" s="130">
        <f t="shared" si="10"/>
        <v>32128.199999999997</v>
      </c>
      <c r="AE21" s="178">
        <f t="shared" si="23"/>
        <v>32128</v>
      </c>
      <c r="AF21" s="287">
        <f>21000/C21/12</f>
        <v>0.5098324836125273</v>
      </c>
      <c r="AG21" s="288">
        <f t="shared" si="24"/>
        <v>0.51</v>
      </c>
      <c r="AH21" s="289">
        <f t="shared" si="25"/>
        <v>21006.9</v>
      </c>
      <c r="AI21" s="289">
        <f t="shared" si="26"/>
        <v>21007</v>
      </c>
      <c r="AJ21" s="289">
        <f t="shared" si="27"/>
        <v>0.36416605972323385</v>
      </c>
      <c r="AK21" s="288">
        <f t="shared" si="28"/>
        <v>0.36</v>
      </c>
      <c r="AL21" s="289">
        <f t="shared" si="29"/>
        <v>14828.400000000001</v>
      </c>
      <c r="AM21" s="289">
        <f t="shared" si="30"/>
        <v>14828</v>
      </c>
      <c r="AN21" s="218">
        <f>9000/C21/12</f>
        <v>0.21849963583394028</v>
      </c>
      <c r="AO21" s="167">
        <f t="shared" si="31"/>
        <v>0.22</v>
      </c>
      <c r="AP21" s="218">
        <f t="shared" si="46"/>
        <v>9061.8</v>
      </c>
      <c r="AQ21" s="218">
        <f t="shared" si="32"/>
        <v>9062</v>
      </c>
      <c r="AR21" s="218">
        <f t="shared" si="33"/>
        <v>0</v>
      </c>
      <c r="AS21" s="167">
        <f t="shared" si="34"/>
        <v>0</v>
      </c>
      <c r="AT21" s="218">
        <f aca="true" t="shared" si="48" ref="AT21:AT36">AS21*C21*12</f>
        <v>0</v>
      </c>
      <c r="AU21" s="218">
        <f t="shared" si="12"/>
        <v>0</v>
      </c>
      <c r="AV21" s="218">
        <f>184796/C21/12</f>
        <v>4.486428744840981</v>
      </c>
      <c r="AW21" s="218">
        <f t="shared" si="35"/>
        <v>4.49</v>
      </c>
      <c r="AX21" s="218">
        <f t="shared" si="36"/>
        <v>184943.1</v>
      </c>
      <c r="AY21" s="218">
        <f t="shared" si="37"/>
        <v>184943</v>
      </c>
      <c r="AZ21" s="218">
        <f t="shared" si="38"/>
        <v>0</v>
      </c>
      <c r="BA21" s="218">
        <f t="shared" si="39"/>
        <v>0</v>
      </c>
      <c r="BB21" s="218">
        <f t="shared" si="40"/>
        <v>0</v>
      </c>
      <c r="BC21" s="218">
        <f t="shared" si="41"/>
        <v>0</v>
      </c>
      <c r="BD21" s="196">
        <f t="shared" si="42"/>
        <v>6.720000000000001</v>
      </c>
      <c r="BE21" s="212">
        <f t="shared" si="43"/>
        <v>276796.80000000005</v>
      </c>
    </row>
    <row r="22" spans="1:57" ht="12.75">
      <c r="A22" s="205">
        <v>12</v>
      </c>
      <c r="B22" s="126" t="s">
        <v>54</v>
      </c>
      <c r="C22" s="132">
        <v>1685.2</v>
      </c>
      <c r="D22" s="121">
        <f>35000/C22/12</f>
        <v>1.7307540153493155</v>
      </c>
      <c r="E22" s="132">
        <f t="shared" si="13"/>
        <v>1.73</v>
      </c>
      <c r="F22" s="132">
        <f t="shared" si="14"/>
        <v>34984.752</v>
      </c>
      <c r="G22" s="130">
        <f t="shared" si="0"/>
        <v>34985</v>
      </c>
      <c r="H22" s="232">
        <f>10000/C22/12</f>
        <v>0.49450114724266164</v>
      </c>
      <c r="I22" s="132">
        <f t="shared" si="1"/>
        <v>0.49</v>
      </c>
      <c r="J22" s="130">
        <f t="shared" si="2"/>
        <v>9908.976</v>
      </c>
      <c r="K22" s="130">
        <f t="shared" si="15"/>
        <v>9909</v>
      </c>
      <c r="L22" s="232">
        <f t="shared" si="3"/>
        <v>0</v>
      </c>
      <c r="M22" s="167">
        <f t="shared" si="44"/>
        <v>0</v>
      </c>
      <c r="N22" s="130">
        <f t="shared" si="4"/>
        <v>0</v>
      </c>
      <c r="O22" s="130">
        <f t="shared" si="16"/>
        <v>0</v>
      </c>
      <c r="P22" s="232">
        <f t="shared" si="17"/>
        <v>0</v>
      </c>
      <c r="Q22" s="132">
        <f t="shared" si="45"/>
        <v>0</v>
      </c>
      <c r="R22" s="131">
        <f t="shared" si="5"/>
        <v>0</v>
      </c>
      <c r="S22" s="131">
        <f t="shared" si="18"/>
        <v>0</v>
      </c>
      <c r="T22" s="232">
        <f t="shared" si="19"/>
        <v>0</v>
      </c>
      <c r="U22" s="132">
        <f t="shared" si="6"/>
        <v>0</v>
      </c>
      <c r="V22" s="121">
        <f t="shared" si="7"/>
        <v>0</v>
      </c>
      <c r="W22" s="132">
        <f t="shared" si="20"/>
        <v>0</v>
      </c>
      <c r="X22" s="232">
        <f>27000/C22/12</f>
        <v>1.3351530975551862</v>
      </c>
      <c r="Y22" s="132">
        <f t="shared" si="8"/>
        <v>1.34</v>
      </c>
      <c r="Z22" s="132">
        <f t="shared" si="9"/>
        <v>27098.016000000003</v>
      </c>
      <c r="AA22" s="132">
        <f t="shared" si="21"/>
        <v>27098</v>
      </c>
      <c r="AB22" s="167">
        <f>8500/C22/12</f>
        <v>0.4203259751562623</v>
      </c>
      <c r="AC22" s="132">
        <f t="shared" si="22"/>
        <v>0.42</v>
      </c>
      <c r="AD22" s="130">
        <f t="shared" si="10"/>
        <v>8493.408</v>
      </c>
      <c r="AE22" s="178">
        <f t="shared" si="23"/>
        <v>8493</v>
      </c>
      <c r="AF22" s="287">
        <f>21000/C22/12</f>
        <v>1.0384524092095895</v>
      </c>
      <c r="AG22" s="288">
        <f t="shared" si="24"/>
        <v>1.04</v>
      </c>
      <c r="AH22" s="289">
        <f t="shared" si="25"/>
        <v>21031.296000000002</v>
      </c>
      <c r="AI22" s="289">
        <f t="shared" si="26"/>
        <v>21031</v>
      </c>
      <c r="AJ22" s="289">
        <f t="shared" si="27"/>
        <v>0.7417517208639923</v>
      </c>
      <c r="AK22" s="288">
        <f t="shared" si="28"/>
        <v>0.74</v>
      </c>
      <c r="AL22" s="289">
        <f t="shared" si="29"/>
        <v>14964.576000000001</v>
      </c>
      <c r="AM22" s="289">
        <f t="shared" si="30"/>
        <v>14965</v>
      </c>
      <c r="AN22" s="218">
        <f>4500/C22/12</f>
        <v>0.2225255162591977</v>
      </c>
      <c r="AO22" s="167">
        <f t="shared" si="31"/>
        <v>0.22</v>
      </c>
      <c r="AP22" s="218">
        <f t="shared" si="46"/>
        <v>4448.928</v>
      </c>
      <c r="AQ22" s="218">
        <f t="shared" si="32"/>
        <v>4449</v>
      </c>
      <c r="AR22" s="218">
        <f t="shared" si="33"/>
        <v>0</v>
      </c>
      <c r="AS22" s="167">
        <f t="shared" si="34"/>
        <v>0</v>
      </c>
      <c r="AT22" s="218">
        <f t="shared" si="48"/>
        <v>0</v>
      </c>
      <c r="AU22" s="218">
        <f t="shared" si="12"/>
        <v>0</v>
      </c>
      <c r="AV22" s="218">
        <f t="shared" si="47"/>
        <v>0</v>
      </c>
      <c r="AW22" s="218">
        <f t="shared" si="35"/>
        <v>0</v>
      </c>
      <c r="AX22" s="218">
        <f t="shared" si="36"/>
        <v>0</v>
      </c>
      <c r="AY22" s="218">
        <f t="shared" si="37"/>
        <v>0</v>
      </c>
      <c r="AZ22" s="218">
        <f t="shared" si="38"/>
        <v>0</v>
      </c>
      <c r="BA22" s="218">
        <f t="shared" si="39"/>
        <v>0</v>
      </c>
      <c r="BB22" s="218">
        <f t="shared" si="40"/>
        <v>0</v>
      </c>
      <c r="BC22" s="218">
        <f t="shared" si="41"/>
        <v>0</v>
      </c>
      <c r="BD22" s="196">
        <f t="shared" si="42"/>
        <v>5.98</v>
      </c>
      <c r="BE22" s="212">
        <f t="shared" si="43"/>
        <v>120929.95200000002</v>
      </c>
    </row>
    <row r="23" spans="1:57" ht="12.75">
      <c r="A23" s="205">
        <v>13</v>
      </c>
      <c r="B23" s="126" t="s">
        <v>55</v>
      </c>
      <c r="C23" s="132">
        <v>3421.2</v>
      </c>
      <c r="D23" s="121">
        <f>20000/C23/12</f>
        <v>0.487158501890175</v>
      </c>
      <c r="E23" s="132">
        <f t="shared" si="13"/>
        <v>0.49</v>
      </c>
      <c r="F23" s="132">
        <f t="shared" si="14"/>
        <v>20116.656</v>
      </c>
      <c r="G23" s="130">
        <f t="shared" si="0"/>
        <v>20117</v>
      </c>
      <c r="H23" s="232">
        <f>15000/C23/12</f>
        <v>0.36536887641763127</v>
      </c>
      <c r="I23" s="132">
        <f t="shared" si="1"/>
        <v>0.37</v>
      </c>
      <c r="J23" s="130">
        <f t="shared" si="2"/>
        <v>15190.127999999997</v>
      </c>
      <c r="K23" s="130">
        <f t="shared" si="15"/>
        <v>15190</v>
      </c>
      <c r="L23" s="232">
        <f>11000/C23/12</f>
        <v>0.26793717603959627</v>
      </c>
      <c r="M23" s="167">
        <f t="shared" si="44"/>
        <v>0.27</v>
      </c>
      <c r="N23" s="130">
        <f t="shared" si="4"/>
        <v>11084.688</v>
      </c>
      <c r="O23" s="130">
        <f t="shared" si="16"/>
        <v>11085</v>
      </c>
      <c r="P23" s="232">
        <f t="shared" si="17"/>
        <v>0</v>
      </c>
      <c r="Q23" s="132">
        <f t="shared" si="45"/>
        <v>0</v>
      </c>
      <c r="R23" s="131">
        <f t="shared" si="5"/>
        <v>0</v>
      </c>
      <c r="S23" s="199">
        <f t="shared" si="18"/>
        <v>0</v>
      </c>
      <c r="T23" s="232">
        <f>95000/C23/12</f>
        <v>2.3140028839783313</v>
      </c>
      <c r="U23" s="132">
        <f t="shared" si="6"/>
        <v>2.31</v>
      </c>
      <c r="V23" s="121">
        <f t="shared" si="7"/>
        <v>94835.66399999999</v>
      </c>
      <c r="W23" s="132">
        <f t="shared" si="20"/>
        <v>94836</v>
      </c>
      <c r="X23" s="232">
        <f>20000/C23/12</f>
        <v>0.487158501890175</v>
      </c>
      <c r="Y23" s="132">
        <f t="shared" si="8"/>
        <v>0.49</v>
      </c>
      <c r="Z23" s="132">
        <f t="shared" si="9"/>
        <v>20116.656</v>
      </c>
      <c r="AA23" s="132">
        <f t="shared" si="21"/>
        <v>20117</v>
      </c>
      <c r="AB23" s="167">
        <f>33000/C23/12</f>
        <v>0.8038115281187888</v>
      </c>
      <c r="AC23" s="132">
        <f t="shared" si="22"/>
        <v>0.8</v>
      </c>
      <c r="AD23" s="130">
        <f t="shared" si="10"/>
        <v>32843.520000000004</v>
      </c>
      <c r="AE23" s="201">
        <f t="shared" si="23"/>
        <v>32844</v>
      </c>
      <c r="AF23" s="287">
        <f>21000/C23/12</f>
        <v>0.5115164269846838</v>
      </c>
      <c r="AG23" s="288">
        <f t="shared" si="24"/>
        <v>0.51</v>
      </c>
      <c r="AH23" s="289">
        <f t="shared" si="25"/>
        <v>20937.744</v>
      </c>
      <c r="AI23" s="290">
        <f t="shared" si="26"/>
        <v>20938</v>
      </c>
      <c r="AJ23" s="289">
        <f t="shared" si="27"/>
        <v>0.36536887641763127</v>
      </c>
      <c r="AK23" s="288">
        <f t="shared" si="28"/>
        <v>0.37</v>
      </c>
      <c r="AL23" s="289">
        <f t="shared" si="29"/>
        <v>15190.127999999997</v>
      </c>
      <c r="AM23" s="290">
        <f t="shared" si="30"/>
        <v>15190</v>
      </c>
      <c r="AN23" s="218">
        <f>9000/C23/12</f>
        <v>0.21922132585057874</v>
      </c>
      <c r="AO23" s="167">
        <f t="shared" si="31"/>
        <v>0.22</v>
      </c>
      <c r="AP23" s="218">
        <f t="shared" si="46"/>
        <v>9031.968</v>
      </c>
      <c r="AQ23" s="218">
        <f t="shared" si="32"/>
        <v>9032</v>
      </c>
      <c r="AR23" s="218">
        <f t="shared" si="33"/>
        <v>0</v>
      </c>
      <c r="AS23" s="167">
        <f t="shared" si="34"/>
        <v>0</v>
      </c>
      <c r="AT23" s="218">
        <f t="shared" si="48"/>
        <v>0</v>
      </c>
      <c r="AU23" s="218">
        <f t="shared" si="12"/>
        <v>0</v>
      </c>
      <c r="AV23" s="218">
        <f t="shared" si="47"/>
        <v>0</v>
      </c>
      <c r="AW23" s="218">
        <f t="shared" si="35"/>
        <v>0</v>
      </c>
      <c r="AX23" s="218">
        <f t="shared" si="36"/>
        <v>0</v>
      </c>
      <c r="AY23" s="218">
        <f t="shared" si="37"/>
        <v>0</v>
      </c>
      <c r="AZ23" s="218">
        <f t="shared" si="38"/>
        <v>0</v>
      </c>
      <c r="BA23" s="218">
        <f t="shared" si="39"/>
        <v>0</v>
      </c>
      <c r="BB23" s="218">
        <f t="shared" si="40"/>
        <v>0</v>
      </c>
      <c r="BC23" s="218">
        <f t="shared" si="41"/>
        <v>0</v>
      </c>
      <c r="BD23" s="196">
        <f t="shared" si="42"/>
        <v>5.830000000000001</v>
      </c>
      <c r="BE23" s="212">
        <f t="shared" si="43"/>
        <v>239347.152</v>
      </c>
    </row>
    <row r="24" spans="1:57" ht="12.75">
      <c r="A24" s="205">
        <v>14</v>
      </c>
      <c r="B24" s="126" t="s">
        <v>56</v>
      </c>
      <c r="C24" s="132">
        <v>1680.8</v>
      </c>
      <c r="D24" s="121">
        <f>15000/C24/12</f>
        <v>0.7436934792955735</v>
      </c>
      <c r="E24" s="132">
        <f t="shared" si="13"/>
        <v>0.74</v>
      </c>
      <c r="F24" s="132">
        <f t="shared" si="14"/>
        <v>14925.503999999999</v>
      </c>
      <c r="G24" s="130">
        <f t="shared" si="0"/>
        <v>14926</v>
      </c>
      <c r="H24" s="232">
        <f>0/C24/12</f>
        <v>0</v>
      </c>
      <c r="I24" s="132">
        <f t="shared" si="1"/>
        <v>0</v>
      </c>
      <c r="J24" s="130">
        <f t="shared" si="2"/>
        <v>0</v>
      </c>
      <c r="K24" s="130">
        <f t="shared" si="15"/>
        <v>0</v>
      </c>
      <c r="L24" s="232">
        <f>0/C24/12</f>
        <v>0</v>
      </c>
      <c r="M24" s="167">
        <f t="shared" si="44"/>
        <v>0</v>
      </c>
      <c r="N24" s="130">
        <f t="shared" si="4"/>
        <v>0</v>
      </c>
      <c r="O24" s="130">
        <f t="shared" si="16"/>
        <v>0</v>
      </c>
      <c r="P24" s="232">
        <f t="shared" si="17"/>
        <v>0</v>
      </c>
      <c r="Q24" s="132">
        <f t="shared" si="45"/>
        <v>0</v>
      </c>
      <c r="R24" s="131">
        <f t="shared" si="5"/>
        <v>0</v>
      </c>
      <c r="S24" s="131">
        <f t="shared" si="18"/>
        <v>0</v>
      </c>
      <c r="T24" s="232">
        <f>95000/C24/12</f>
        <v>4.710058702205299</v>
      </c>
      <c r="U24" s="132">
        <f t="shared" si="6"/>
        <v>4.71</v>
      </c>
      <c r="V24" s="121">
        <f t="shared" si="7"/>
        <v>94998.81599999999</v>
      </c>
      <c r="W24" s="132">
        <f t="shared" si="20"/>
        <v>94999</v>
      </c>
      <c r="X24" s="232">
        <f>0/C24/12</f>
        <v>0</v>
      </c>
      <c r="Y24" s="132">
        <f t="shared" si="8"/>
        <v>0</v>
      </c>
      <c r="Z24" s="132">
        <f t="shared" si="9"/>
        <v>0</v>
      </c>
      <c r="AA24" s="132">
        <f t="shared" si="21"/>
        <v>0</v>
      </c>
      <c r="AB24" s="167">
        <f>13200/C24/12</f>
        <v>0.6544502617801048</v>
      </c>
      <c r="AC24" s="132">
        <f t="shared" si="22"/>
        <v>0.65</v>
      </c>
      <c r="AD24" s="130">
        <f t="shared" si="10"/>
        <v>13110.24</v>
      </c>
      <c r="AE24" s="178">
        <f t="shared" si="23"/>
        <v>13110</v>
      </c>
      <c r="AF24" s="287">
        <f>15000/C24/12</f>
        <v>0.7436934792955735</v>
      </c>
      <c r="AG24" s="288">
        <f t="shared" si="24"/>
        <v>0.74</v>
      </c>
      <c r="AH24" s="289">
        <f t="shared" si="25"/>
        <v>14925.503999999999</v>
      </c>
      <c r="AI24" s="289">
        <f t="shared" si="26"/>
        <v>14926</v>
      </c>
      <c r="AJ24" s="289">
        <f t="shared" si="27"/>
        <v>0.7436934792955735</v>
      </c>
      <c r="AK24" s="288">
        <f t="shared" si="28"/>
        <v>0.74</v>
      </c>
      <c r="AL24" s="289">
        <f t="shared" si="29"/>
        <v>14925.503999999999</v>
      </c>
      <c r="AM24" s="289">
        <f t="shared" si="30"/>
        <v>14926</v>
      </c>
      <c r="AN24" s="218">
        <f>4500/C24/12</f>
        <v>0.22310804378867208</v>
      </c>
      <c r="AO24" s="167">
        <f t="shared" si="31"/>
        <v>0.22</v>
      </c>
      <c r="AP24" s="218">
        <f t="shared" si="46"/>
        <v>4437.312</v>
      </c>
      <c r="AQ24" s="218">
        <f t="shared" si="32"/>
        <v>4437</v>
      </c>
      <c r="AR24" s="218">
        <f t="shared" si="33"/>
        <v>0</v>
      </c>
      <c r="AS24" s="167">
        <f t="shared" si="34"/>
        <v>0</v>
      </c>
      <c r="AT24" s="218">
        <f t="shared" si="48"/>
        <v>0</v>
      </c>
      <c r="AU24" s="218">
        <f t="shared" si="12"/>
        <v>0</v>
      </c>
      <c r="AV24" s="218">
        <f t="shared" si="47"/>
        <v>0</v>
      </c>
      <c r="AW24" s="218">
        <f t="shared" si="35"/>
        <v>0</v>
      </c>
      <c r="AX24" s="218">
        <f t="shared" si="36"/>
        <v>0</v>
      </c>
      <c r="AY24" s="218">
        <f t="shared" si="37"/>
        <v>0</v>
      </c>
      <c r="AZ24" s="218">
        <f t="shared" si="38"/>
        <v>0</v>
      </c>
      <c r="BA24" s="218">
        <f t="shared" si="39"/>
        <v>0</v>
      </c>
      <c r="BB24" s="218">
        <f t="shared" si="40"/>
        <v>0</v>
      </c>
      <c r="BC24" s="218">
        <f t="shared" si="41"/>
        <v>0</v>
      </c>
      <c r="BD24" s="196">
        <f t="shared" si="42"/>
        <v>7.800000000000001</v>
      </c>
      <c r="BE24" s="212">
        <f t="shared" si="43"/>
        <v>157322.88</v>
      </c>
    </row>
    <row r="25" spans="1:57" ht="12.75">
      <c r="A25" s="205">
        <v>15</v>
      </c>
      <c r="B25" s="126" t="s">
        <v>57</v>
      </c>
      <c r="C25" s="132">
        <v>3444.4</v>
      </c>
      <c r="D25" s="121">
        <f>20000/C25/12</f>
        <v>0.4838772113188557</v>
      </c>
      <c r="E25" s="132">
        <f t="shared" si="13"/>
        <v>0.48</v>
      </c>
      <c r="F25" s="132">
        <f t="shared" si="14"/>
        <v>19839.744</v>
      </c>
      <c r="G25" s="130">
        <f t="shared" si="0"/>
        <v>19840</v>
      </c>
      <c r="H25" s="232">
        <f>15000/C25/12</f>
        <v>0.3629079084891418</v>
      </c>
      <c r="I25" s="132">
        <f t="shared" si="1"/>
        <v>0.36</v>
      </c>
      <c r="J25" s="130">
        <f t="shared" si="2"/>
        <v>14879.807999999999</v>
      </c>
      <c r="K25" s="130">
        <f t="shared" si="15"/>
        <v>14880</v>
      </c>
      <c r="L25" s="232">
        <f t="shared" si="3"/>
        <v>0</v>
      </c>
      <c r="M25" s="167">
        <f t="shared" si="44"/>
        <v>0</v>
      </c>
      <c r="N25" s="130">
        <f t="shared" si="4"/>
        <v>0</v>
      </c>
      <c r="O25" s="130">
        <f t="shared" si="16"/>
        <v>0</v>
      </c>
      <c r="P25" s="232">
        <f>20000/C25/12</f>
        <v>0.4838772113188557</v>
      </c>
      <c r="Q25" s="132">
        <f t="shared" si="45"/>
        <v>0.48</v>
      </c>
      <c r="R25" s="131">
        <f t="shared" si="5"/>
        <v>19839.744</v>
      </c>
      <c r="S25" s="131">
        <f t="shared" si="18"/>
        <v>19840</v>
      </c>
      <c r="T25" s="232">
        <f>95000/C25/12</f>
        <v>2.2984167537645646</v>
      </c>
      <c r="U25" s="132">
        <f t="shared" si="6"/>
        <v>2.3</v>
      </c>
      <c r="V25" s="121">
        <f t="shared" si="7"/>
        <v>95065.44</v>
      </c>
      <c r="W25" s="132">
        <f t="shared" si="20"/>
        <v>95065</v>
      </c>
      <c r="X25" s="232">
        <f>13000/C25/12</f>
        <v>0.31452018735725623</v>
      </c>
      <c r="Y25" s="132">
        <f t="shared" si="8"/>
        <v>0.31</v>
      </c>
      <c r="Z25" s="132">
        <f t="shared" si="9"/>
        <v>12813.168000000001</v>
      </c>
      <c r="AA25" s="132">
        <f t="shared" si="21"/>
        <v>12813</v>
      </c>
      <c r="AB25" s="167">
        <f>25000/C25/12</f>
        <v>0.6048465141485696</v>
      </c>
      <c r="AC25" s="132">
        <f t="shared" si="22"/>
        <v>0.6</v>
      </c>
      <c r="AD25" s="130">
        <f t="shared" si="10"/>
        <v>24799.68</v>
      </c>
      <c r="AE25" s="178">
        <f t="shared" si="23"/>
        <v>24800</v>
      </c>
      <c r="AF25" s="287">
        <f>15000/C25/12</f>
        <v>0.3629079084891418</v>
      </c>
      <c r="AG25" s="288">
        <f t="shared" si="24"/>
        <v>0.36</v>
      </c>
      <c r="AH25" s="289">
        <f t="shared" si="25"/>
        <v>14879.807999999999</v>
      </c>
      <c r="AI25" s="289">
        <f t="shared" si="26"/>
        <v>14880</v>
      </c>
      <c r="AJ25" s="289">
        <f t="shared" si="27"/>
        <v>0.3629079084891418</v>
      </c>
      <c r="AK25" s="288">
        <f t="shared" si="28"/>
        <v>0.36</v>
      </c>
      <c r="AL25" s="289">
        <f t="shared" si="29"/>
        <v>14879.807999999999</v>
      </c>
      <c r="AM25" s="289">
        <f t="shared" si="30"/>
        <v>14880</v>
      </c>
      <c r="AN25" s="218">
        <f>9000/C25/12</f>
        <v>0.21774474509348507</v>
      </c>
      <c r="AO25" s="167">
        <f t="shared" si="31"/>
        <v>0.22</v>
      </c>
      <c r="AP25" s="218">
        <f t="shared" si="46"/>
        <v>9093.216</v>
      </c>
      <c r="AQ25" s="218">
        <f t="shared" si="32"/>
        <v>9093</v>
      </c>
      <c r="AR25" s="218">
        <f t="shared" si="33"/>
        <v>0</v>
      </c>
      <c r="AS25" s="167">
        <f t="shared" si="34"/>
        <v>0</v>
      </c>
      <c r="AT25" s="218">
        <f t="shared" si="48"/>
        <v>0</v>
      </c>
      <c r="AU25" s="218">
        <f t="shared" si="12"/>
        <v>0</v>
      </c>
      <c r="AV25" s="218">
        <f t="shared" si="47"/>
        <v>0</v>
      </c>
      <c r="AW25" s="218">
        <f t="shared" si="35"/>
        <v>0</v>
      </c>
      <c r="AX25" s="218">
        <f t="shared" si="36"/>
        <v>0</v>
      </c>
      <c r="AY25" s="218">
        <f t="shared" si="37"/>
        <v>0</v>
      </c>
      <c r="AZ25" s="218">
        <f t="shared" si="38"/>
        <v>0</v>
      </c>
      <c r="BA25" s="218">
        <f t="shared" si="39"/>
        <v>0</v>
      </c>
      <c r="BB25" s="218">
        <f t="shared" si="40"/>
        <v>0</v>
      </c>
      <c r="BC25" s="218">
        <f t="shared" si="41"/>
        <v>0</v>
      </c>
      <c r="BD25" s="196">
        <f t="shared" si="42"/>
        <v>5.470000000000001</v>
      </c>
      <c r="BE25" s="212">
        <f t="shared" si="43"/>
        <v>226090.41600000003</v>
      </c>
    </row>
    <row r="26" spans="1:57" ht="12.75">
      <c r="A26" s="205">
        <v>16</v>
      </c>
      <c r="B26" s="126" t="s">
        <v>58</v>
      </c>
      <c r="C26" s="132">
        <v>1725.8</v>
      </c>
      <c r="D26" s="121">
        <f>20000/C26/12</f>
        <v>0.9657356974543206</v>
      </c>
      <c r="E26" s="132">
        <f t="shared" si="13"/>
        <v>0.97</v>
      </c>
      <c r="F26" s="132">
        <f t="shared" si="14"/>
        <v>20088.311999999998</v>
      </c>
      <c r="G26" s="130">
        <f t="shared" si="0"/>
        <v>20088</v>
      </c>
      <c r="H26" s="232">
        <f>15000/C26/12</f>
        <v>0.7243017730907405</v>
      </c>
      <c r="I26" s="132">
        <f t="shared" si="1"/>
        <v>0.72</v>
      </c>
      <c r="J26" s="130">
        <f t="shared" si="2"/>
        <v>14910.912</v>
      </c>
      <c r="K26" s="130">
        <f t="shared" si="15"/>
        <v>14911</v>
      </c>
      <c r="L26" s="232">
        <f>23000/C26/12</f>
        <v>1.110596052072469</v>
      </c>
      <c r="M26" s="167">
        <f t="shared" si="44"/>
        <v>1.11</v>
      </c>
      <c r="N26" s="130">
        <f t="shared" si="4"/>
        <v>22987.656000000003</v>
      </c>
      <c r="O26" s="130">
        <f t="shared" si="16"/>
        <v>22988</v>
      </c>
      <c r="P26" s="232">
        <f t="shared" si="17"/>
        <v>0</v>
      </c>
      <c r="Q26" s="132">
        <f t="shared" si="45"/>
        <v>0</v>
      </c>
      <c r="R26" s="131">
        <f t="shared" si="5"/>
        <v>0</v>
      </c>
      <c r="S26" s="131">
        <f t="shared" si="18"/>
        <v>0</v>
      </c>
      <c r="T26" s="232">
        <f t="shared" si="19"/>
        <v>0</v>
      </c>
      <c r="U26" s="132">
        <f t="shared" si="6"/>
        <v>0</v>
      </c>
      <c r="V26" s="121">
        <f t="shared" si="7"/>
        <v>0</v>
      </c>
      <c r="W26" s="132">
        <f t="shared" si="20"/>
        <v>0</v>
      </c>
      <c r="X26" s="232">
        <f>75000/C26/12</f>
        <v>3.6215088654537024</v>
      </c>
      <c r="Y26" s="132">
        <f t="shared" si="8"/>
        <v>3.62</v>
      </c>
      <c r="Z26" s="132">
        <f t="shared" si="9"/>
        <v>74968.752</v>
      </c>
      <c r="AA26" s="132">
        <f t="shared" si="21"/>
        <v>74969</v>
      </c>
      <c r="AB26" s="167">
        <f>4800/C26/12</f>
        <v>0.23177656738903696</v>
      </c>
      <c r="AC26" s="132">
        <f t="shared" si="22"/>
        <v>0.23</v>
      </c>
      <c r="AD26" s="130">
        <f t="shared" si="10"/>
        <v>4763.2080000000005</v>
      </c>
      <c r="AE26" s="178">
        <f t="shared" si="23"/>
        <v>4763</v>
      </c>
      <c r="AF26" s="287">
        <f>14500/C26/12</f>
        <v>0.7001583806543826</v>
      </c>
      <c r="AG26" s="288">
        <f t="shared" si="24"/>
        <v>0.7</v>
      </c>
      <c r="AH26" s="289">
        <f t="shared" si="25"/>
        <v>14496.72</v>
      </c>
      <c r="AI26" s="289">
        <f t="shared" si="26"/>
        <v>14497</v>
      </c>
      <c r="AJ26" s="289">
        <f t="shared" si="27"/>
        <v>0.7243017730907405</v>
      </c>
      <c r="AK26" s="288">
        <f t="shared" si="28"/>
        <v>0.72</v>
      </c>
      <c r="AL26" s="289">
        <f t="shared" si="29"/>
        <v>14910.912</v>
      </c>
      <c r="AM26" s="289">
        <f t="shared" si="30"/>
        <v>14911</v>
      </c>
      <c r="AN26" s="218">
        <f>4500/C26/12</f>
        <v>0.21729053192722217</v>
      </c>
      <c r="AO26" s="167">
        <f t="shared" si="31"/>
        <v>0.22</v>
      </c>
      <c r="AP26" s="218">
        <f t="shared" si="46"/>
        <v>4556.112</v>
      </c>
      <c r="AQ26" s="218">
        <f t="shared" si="32"/>
        <v>4556</v>
      </c>
      <c r="AR26" s="218">
        <f t="shared" si="33"/>
        <v>0</v>
      </c>
      <c r="AS26" s="167">
        <f t="shared" si="34"/>
        <v>0</v>
      </c>
      <c r="AT26" s="218">
        <f t="shared" si="48"/>
        <v>0</v>
      </c>
      <c r="AU26" s="218">
        <f t="shared" si="12"/>
        <v>0</v>
      </c>
      <c r="AV26" s="218">
        <f t="shared" si="47"/>
        <v>0</v>
      </c>
      <c r="AW26" s="218">
        <f t="shared" si="35"/>
        <v>0</v>
      </c>
      <c r="AX26" s="218">
        <f t="shared" si="36"/>
        <v>0</v>
      </c>
      <c r="AY26" s="218">
        <f t="shared" si="37"/>
        <v>0</v>
      </c>
      <c r="AZ26" s="218">
        <f t="shared" si="38"/>
        <v>0</v>
      </c>
      <c r="BA26" s="218">
        <f t="shared" si="39"/>
        <v>0</v>
      </c>
      <c r="BB26" s="218">
        <f t="shared" si="40"/>
        <v>0</v>
      </c>
      <c r="BC26" s="218">
        <f t="shared" si="41"/>
        <v>0</v>
      </c>
      <c r="BD26" s="196">
        <f t="shared" si="42"/>
        <v>8.290000000000001</v>
      </c>
      <c r="BE26" s="212">
        <f t="shared" si="43"/>
        <v>171682.58400000003</v>
      </c>
    </row>
    <row r="27" spans="1:57" ht="12.75">
      <c r="A27" s="205">
        <v>17</v>
      </c>
      <c r="B27" s="126" t="s">
        <v>59</v>
      </c>
      <c r="C27" s="132">
        <v>3370.5</v>
      </c>
      <c r="D27" s="121">
        <f>25000/C27/12</f>
        <v>0.6181080947436087</v>
      </c>
      <c r="E27" s="132">
        <f t="shared" si="13"/>
        <v>0.62</v>
      </c>
      <c r="F27" s="132">
        <f t="shared" si="14"/>
        <v>25076.52</v>
      </c>
      <c r="G27" s="130">
        <f t="shared" si="0"/>
        <v>25077</v>
      </c>
      <c r="H27" s="232">
        <f>15000/C27/12</f>
        <v>0.37086485684616527</v>
      </c>
      <c r="I27" s="132">
        <f t="shared" si="1"/>
        <v>0.37</v>
      </c>
      <c r="J27" s="130">
        <f t="shared" si="2"/>
        <v>14965.02</v>
      </c>
      <c r="K27" s="130">
        <f t="shared" si="15"/>
        <v>14965</v>
      </c>
      <c r="L27" s="232">
        <f t="shared" si="3"/>
        <v>0</v>
      </c>
      <c r="M27" s="167">
        <f t="shared" si="44"/>
        <v>0</v>
      </c>
      <c r="N27" s="130">
        <f t="shared" si="4"/>
        <v>0</v>
      </c>
      <c r="O27" s="136">
        <f t="shared" si="16"/>
        <v>0</v>
      </c>
      <c r="P27" s="232">
        <f t="shared" si="17"/>
        <v>0</v>
      </c>
      <c r="Q27" s="132">
        <f t="shared" si="45"/>
        <v>0</v>
      </c>
      <c r="R27" s="131">
        <f t="shared" si="5"/>
        <v>0</v>
      </c>
      <c r="S27" s="131">
        <f t="shared" si="18"/>
        <v>0</v>
      </c>
      <c r="T27" s="232">
        <f>95000/C27/12</f>
        <v>2.3488107600257133</v>
      </c>
      <c r="U27" s="132">
        <f t="shared" si="6"/>
        <v>2.35</v>
      </c>
      <c r="V27" s="121">
        <f t="shared" si="7"/>
        <v>95048.1</v>
      </c>
      <c r="W27" s="132">
        <f t="shared" si="20"/>
        <v>95048</v>
      </c>
      <c r="X27" s="232">
        <f>0/C27/12</f>
        <v>0</v>
      </c>
      <c r="Y27" s="132">
        <f t="shared" si="8"/>
        <v>0</v>
      </c>
      <c r="Z27" s="132">
        <f t="shared" si="9"/>
        <v>0</v>
      </c>
      <c r="AA27" s="132">
        <f t="shared" si="21"/>
        <v>0</v>
      </c>
      <c r="AB27" s="167">
        <f>38500/C27/12</f>
        <v>0.9518864659051575</v>
      </c>
      <c r="AC27" s="132">
        <f t="shared" si="22"/>
        <v>0.95</v>
      </c>
      <c r="AD27" s="130">
        <f t="shared" si="10"/>
        <v>38423.7</v>
      </c>
      <c r="AE27" s="178">
        <f t="shared" si="23"/>
        <v>38424</v>
      </c>
      <c r="AF27" s="287">
        <f>21000/C27/12</f>
        <v>0.5192107995846313</v>
      </c>
      <c r="AG27" s="288">
        <f t="shared" si="24"/>
        <v>0.52</v>
      </c>
      <c r="AH27" s="289">
        <f t="shared" si="25"/>
        <v>21031.920000000002</v>
      </c>
      <c r="AI27" s="289">
        <f t="shared" si="26"/>
        <v>21032</v>
      </c>
      <c r="AJ27" s="289">
        <f t="shared" si="27"/>
        <v>0.37086485684616527</v>
      </c>
      <c r="AK27" s="288">
        <f t="shared" si="28"/>
        <v>0.37</v>
      </c>
      <c r="AL27" s="289">
        <f t="shared" si="29"/>
        <v>14965.02</v>
      </c>
      <c r="AM27" s="289">
        <f t="shared" si="30"/>
        <v>14965</v>
      </c>
      <c r="AN27" s="218">
        <f>9000/C27/12</f>
        <v>0.22251891410769917</v>
      </c>
      <c r="AO27" s="167">
        <f t="shared" si="31"/>
        <v>0.22</v>
      </c>
      <c r="AP27" s="218">
        <f t="shared" si="46"/>
        <v>8898.119999999999</v>
      </c>
      <c r="AQ27" s="218">
        <f t="shared" si="32"/>
        <v>8898</v>
      </c>
      <c r="AR27" s="218">
        <f t="shared" si="33"/>
        <v>0</v>
      </c>
      <c r="AS27" s="167">
        <f t="shared" si="34"/>
        <v>0</v>
      </c>
      <c r="AT27" s="218">
        <f t="shared" si="48"/>
        <v>0</v>
      </c>
      <c r="AU27" s="218">
        <f t="shared" si="12"/>
        <v>0</v>
      </c>
      <c r="AV27" s="218">
        <f t="shared" si="47"/>
        <v>0</v>
      </c>
      <c r="AW27" s="218">
        <f t="shared" si="35"/>
        <v>0</v>
      </c>
      <c r="AX27" s="218">
        <f t="shared" si="36"/>
        <v>0</v>
      </c>
      <c r="AY27" s="218">
        <f t="shared" si="37"/>
        <v>0</v>
      </c>
      <c r="AZ27" s="218">
        <f t="shared" si="38"/>
        <v>0</v>
      </c>
      <c r="BA27" s="218">
        <f t="shared" si="39"/>
        <v>0</v>
      </c>
      <c r="BB27" s="218">
        <f t="shared" si="40"/>
        <v>0</v>
      </c>
      <c r="BC27" s="218">
        <f t="shared" si="41"/>
        <v>0</v>
      </c>
      <c r="BD27" s="196">
        <f t="shared" si="42"/>
        <v>5.4</v>
      </c>
      <c r="BE27" s="212">
        <f t="shared" si="43"/>
        <v>218408.40000000002</v>
      </c>
    </row>
    <row r="28" spans="1:57" ht="12.75">
      <c r="A28" s="205">
        <v>18</v>
      </c>
      <c r="B28" s="126" t="s">
        <v>60</v>
      </c>
      <c r="C28" s="132">
        <v>3466.3</v>
      </c>
      <c r="D28" s="121">
        <f>25000/C28/12</f>
        <v>0.6010251084249295</v>
      </c>
      <c r="E28" s="132">
        <f t="shared" si="13"/>
        <v>0.6</v>
      </c>
      <c r="F28" s="132">
        <f t="shared" si="14"/>
        <v>24957.36</v>
      </c>
      <c r="G28" s="130">
        <f t="shared" si="0"/>
        <v>24957</v>
      </c>
      <c r="H28" s="232">
        <f>10000/C28/12</f>
        <v>0.24041004336997182</v>
      </c>
      <c r="I28" s="132">
        <f t="shared" si="1"/>
        <v>0.24</v>
      </c>
      <c r="J28" s="130">
        <f>I28*C28*12</f>
        <v>9982.944</v>
      </c>
      <c r="K28" s="130">
        <f t="shared" si="15"/>
        <v>9983</v>
      </c>
      <c r="L28" s="232">
        <f t="shared" si="3"/>
        <v>0</v>
      </c>
      <c r="M28" s="167">
        <f t="shared" si="44"/>
        <v>0</v>
      </c>
      <c r="N28" s="130">
        <f t="shared" si="4"/>
        <v>0</v>
      </c>
      <c r="O28" s="130">
        <f t="shared" si="16"/>
        <v>0</v>
      </c>
      <c r="P28" s="232">
        <f t="shared" si="17"/>
        <v>0</v>
      </c>
      <c r="Q28" s="132">
        <f t="shared" si="45"/>
        <v>0</v>
      </c>
      <c r="R28" s="131">
        <f t="shared" si="5"/>
        <v>0</v>
      </c>
      <c r="S28" s="131">
        <f t="shared" si="18"/>
        <v>0</v>
      </c>
      <c r="T28" s="232">
        <f>155000/C28/12</f>
        <v>3.726355672234563</v>
      </c>
      <c r="U28" s="132">
        <f t="shared" si="6"/>
        <v>3.73</v>
      </c>
      <c r="V28" s="121">
        <f t="shared" si="7"/>
        <v>155151.58800000002</v>
      </c>
      <c r="W28" s="132">
        <f t="shared" si="20"/>
        <v>155152</v>
      </c>
      <c r="X28" s="232">
        <f>0/C28/12</f>
        <v>0</v>
      </c>
      <c r="Y28" s="132">
        <f t="shared" si="8"/>
        <v>0</v>
      </c>
      <c r="Z28" s="132">
        <f t="shared" si="9"/>
        <v>0</v>
      </c>
      <c r="AA28" s="132">
        <f t="shared" si="21"/>
        <v>0</v>
      </c>
      <c r="AB28" s="167">
        <f>38500/C28/12</f>
        <v>0.9255786669743915</v>
      </c>
      <c r="AC28" s="132">
        <f t="shared" si="22"/>
        <v>0.93</v>
      </c>
      <c r="AD28" s="130">
        <f t="shared" si="10"/>
        <v>38683.90800000001</v>
      </c>
      <c r="AE28" s="178">
        <f t="shared" si="23"/>
        <v>38684</v>
      </c>
      <c r="AF28" s="287">
        <f>21000/C28/12</f>
        <v>0.5048610910769408</v>
      </c>
      <c r="AG28" s="288">
        <f t="shared" si="24"/>
        <v>0.5</v>
      </c>
      <c r="AH28" s="289">
        <f t="shared" si="25"/>
        <v>20797.800000000003</v>
      </c>
      <c r="AI28" s="289">
        <f t="shared" si="26"/>
        <v>20798</v>
      </c>
      <c r="AJ28" s="289">
        <f t="shared" si="27"/>
        <v>0.3606150650549577</v>
      </c>
      <c r="AK28" s="288">
        <f t="shared" si="28"/>
        <v>0.36</v>
      </c>
      <c r="AL28" s="289">
        <f t="shared" si="29"/>
        <v>14974.416</v>
      </c>
      <c r="AM28" s="289">
        <f t="shared" si="30"/>
        <v>14974</v>
      </c>
      <c r="AN28" s="218">
        <f>9000/C28/12</f>
        <v>0.21636903903297464</v>
      </c>
      <c r="AO28" s="167">
        <f t="shared" si="31"/>
        <v>0.22</v>
      </c>
      <c r="AP28" s="218">
        <f t="shared" si="46"/>
        <v>9151.032</v>
      </c>
      <c r="AQ28" s="218">
        <f t="shared" si="32"/>
        <v>9151</v>
      </c>
      <c r="AR28" s="218">
        <f t="shared" si="33"/>
        <v>0</v>
      </c>
      <c r="AS28" s="167">
        <f t="shared" si="34"/>
        <v>0</v>
      </c>
      <c r="AT28" s="218">
        <f t="shared" si="48"/>
        <v>0</v>
      </c>
      <c r="AU28" s="218">
        <f t="shared" si="12"/>
        <v>0</v>
      </c>
      <c r="AV28" s="218">
        <f t="shared" si="47"/>
        <v>0</v>
      </c>
      <c r="AW28" s="218">
        <f t="shared" si="35"/>
        <v>0</v>
      </c>
      <c r="AX28" s="218">
        <f t="shared" si="36"/>
        <v>0</v>
      </c>
      <c r="AY28" s="218">
        <f t="shared" si="37"/>
        <v>0</v>
      </c>
      <c r="AZ28" s="218">
        <f t="shared" si="38"/>
        <v>0</v>
      </c>
      <c r="BA28" s="218">
        <f t="shared" si="39"/>
        <v>0</v>
      </c>
      <c r="BB28" s="218">
        <f t="shared" si="40"/>
        <v>0</v>
      </c>
      <c r="BC28" s="218">
        <f t="shared" si="41"/>
        <v>0</v>
      </c>
      <c r="BD28" s="196">
        <f t="shared" si="42"/>
        <v>6.58</v>
      </c>
      <c r="BE28" s="212">
        <f t="shared" si="43"/>
        <v>273699.048</v>
      </c>
    </row>
    <row r="29" spans="1:57" ht="12.75">
      <c r="A29" s="207">
        <v>19</v>
      </c>
      <c r="B29" s="126" t="s">
        <v>61</v>
      </c>
      <c r="C29" s="132">
        <v>1705.3</v>
      </c>
      <c r="D29" s="121">
        <f>35000/C29/12</f>
        <v>1.710353994409586</v>
      </c>
      <c r="E29" s="132">
        <f t="shared" si="13"/>
        <v>1.71</v>
      </c>
      <c r="F29" s="132">
        <f t="shared" si="14"/>
        <v>34992.755999999994</v>
      </c>
      <c r="G29" s="130">
        <f t="shared" si="0"/>
        <v>34993</v>
      </c>
      <c r="H29" s="232">
        <f>15000/C29/12</f>
        <v>0.7330088547469654</v>
      </c>
      <c r="I29" s="130">
        <f aca="true" t="shared" si="49" ref="I29:I35">ROUND(H29,1)</f>
        <v>0.7</v>
      </c>
      <c r="J29" s="130">
        <f t="shared" si="2"/>
        <v>14324.519999999997</v>
      </c>
      <c r="K29" s="130">
        <f t="shared" si="15"/>
        <v>14325</v>
      </c>
      <c r="L29" s="232">
        <f>0/C29/12</f>
        <v>0</v>
      </c>
      <c r="M29" s="167">
        <f t="shared" si="44"/>
        <v>0</v>
      </c>
      <c r="N29" s="130">
        <f t="shared" si="4"/>
        <v>0</v>
      </c>
      <c r="O29" s="130">
        <f t="shared" si="16"/>
        <v>0</v>
      </c>
      <c r="P29" s="232">
        <f t="shared" si="17"/>
        <v>0</v>
      </c>
      <c r="Q29" s="132">
        <f t="shared" si="45"/>
        <v>0</v>
      </c>
      <c r="R29" s="131">
        <f t="shared" si="5"/>
        <v>0</v>
      </c>
      <c r="S29" s="131">
        <f t="shared" si="18"/>
        <v>0</v>
      </c>
      <c r="T29" s="232">
        <f t="shared" si="19"/>
        <v>0</v>
      </c>
      <c r="U29" s="132">
        <f t="shared" si="6"/>
        <v>0</v>
      </c>
      <c r="V29" s="121">
        <f t="shared" si="7"/>
        <v>0</v>
      </c>
      <c r="W29" s="132">
        <f t="shared" si="20"/>
        <v>0</v>
      </c>
      <c r="X29" s="232">
        <f>0/C29/12</f>
        <v>0</v>
      </c>
      <c r="Y29" s="132">
        <f t="shared" si="8"/>
        <v>0</v>
      </c>
      <c r="Z29" s="132">
        <f t="shared" si="9"/>
        <v>0</v>
      </c>
      <c r="AA29" s="132">
        <f t="shared" si="21"/>
        <v>0</v>
      </c>
      <c r="AB29" s="167">
        <f>16000/C29/12</f>
        <v>0.7818761117300964</v>
      </c>
      <c r="AC29" s="132">
        <f t="shared" si="22"/>
        <v>0.78</v>
      </c>
      <c r="AD29" s="130">
        <f t="shared" si="10"/>
        <v>15961.608</v>
      </c>
      <c r="AE29" s="178">
        <f t="shared" si="23"/>
        <v>15962</v>
      </c>
      <c r="AF29" s="287">
        <f>21000/C29/12</f>
        <v>1.0262123966457515</v>
      </c>
      <c r="AG29" s="288">
        <f t="shared" si="24"/>
        <v>1.03</v>
      </c>
      <c r="AH29" s="289">
        <f t="shared" si="25"/>
        <v>21077.508</v>
      </c>
      <c r="AI29" s="287">
        <f t="shared" si="26"/>
        <v>21078</v>
      </c>
      <c r="AJ29" s="289">
        <f t="shared" si="27"/>
        <v>0.7330088547469654</v>
      </c>
      <c r="AK29" s="288">
        <f t="shared" si="28"/>
        <v>0.73</v>
      </c>
      <c r="AL29" s="289">
        <f t="shared" si="29"/>
        <v>14938.428</v>
      </c>
      <c r="AM29" s="289">
        <f t="shared" si="30"/>
        <v>14938</v>
      </c>
      <c r="AN29" s="218">
        <f>4500/C29/12</f>
        <v>0.2199026564240896</v>
      </c>
      <c r="AO29" s="167">
        <f t="shared" si="31"/>
        <v>0.22</v>
      </c>
      <c r="AP29" s="218">
        <f t="shared" si="46"/>
        <v>4501.992</v>
      </c>
      <c r="AQ29" s="218">
        <f t="shared" si="32"/>
        <v>4502</v>
      </c>
      <c r="AR29" s="218">
        <f t="shared" si="33"/>
        <v>0</v>
      </c>
      <c r="AS29" s="167">
        <f t="shared" si="34"/>
        <v>0</v>
      </c>
      <c r="AT29" s="218">
        <f t="shared" si="48"/>
        <v>0</v>
      </c>
      <c r="AU29" s="218">
        <f t="shared" si="12"/>
        <v>0</v>
      </c>
      <c r="AV29" s="218">
        <f t="shared" si="47"/>
        <v>0</v>
      </c>
      <c r="AW29" s="218">
        <f t="shared" si="35"/>
        <v>0</v>
      </c>
      <c r="AX29" s="218">
        <f t="shared" si="36"/>
        <v>0</v>
      </c>
      <c r="AY29" s="218">
        <f t="shared" si="37"/>
        <v>0</v>
      </c>
      <c r="AZ29" s="218">
        <f t="shared" si="38"/>
        <v>0</v>
      </c>
      <c r="BA29" s="218">
        <f>AZ29+ROUND(0,0)</f>
        <v>0</v>
      </c>
      <c r="BB29" s="218">
        <f t="shared" si="40"/>
        <v>0</v>
      </c>
      <c r="BC29" s="218">
        <f>BB29+ROUND(0,0)</f>
        <v>0</v>
      </c>
      <c r="BD29" s="196">
        <f t="shared" si="42"/>
        <v>5.17</v>
      </c>
      <c r="BE29" s="212">
        <f t="shared" si="43"/>
        <v>105796.812</v>
      </c>
    </row>
    <row r="30" spans="1:57" ht="12.75">
      <c r="A30" s="207">
        <v>20</v>
      </c>
      <c r="B30" s="126" t="s">
        <v>64</v>
      </c>
      <c r="C30" s="132">
        <v>5790.1</v>
      </c>
      <c r="D30" s="121">
        <f>0/C30/12</f>
        <v>0</v>
      </c>
      <c r="E30" s="132">
        <f t="shared" si="13"/>
        <v>0</v>
      </c>
      <c r="F30" s="132">
        <f t="shared" si="14"/>
        <v>0</v>
      </c>
      <c r="G30" s="130">
        <f t="shared" si="0"/>
        <v>0</v>
      </c>
      <c r="H30" s="232">
        <f>25000/C30/12</f>
        <v>0.35980955999608527</v>
      </c>
      <c r="I30" s="130">
        <f t="shared" si="49"/>
        <v>0.4</v>
      </c>
      <c r="J30" s="130">
        <f t="shared" si="2"/>
        <v>27792.480000000003</v>
      </c>
      <c r="K30" s="130">
        <f t="shared" si="15"/>
        <v>27792</v>
      </c>
      <c r="L30" s="232">
        <f t="shared" si="3"/>
        <v>0</v>
      </c>
      <c r="M30" s="167">
        <f t="shared" si="44"/>
        <v>0</v>
      </c>
      <c r="N30" s="130">
        <f t="shared" si="4"/>
        <v>0</v>
      </c>
      <c r="O30" s="130">
        <f t="shared" si="16"/>
        <v>0</v>
      </c>
      <c r="P30" s="232">
        <f t="shared" si="17"/>
        <v>0</v>
      </c>
      <c r="Q30" s="132">
        <f t="shared" si="45"/>
        <v>0</v>
      </c>
      <c r="R30" s="131">
        <f t="shared" si="5"/>
        <v>0</v>
      </c>
      <c r="S30" s="131">
        <f t="shared" si="18"/>
        <v>0</v>
      </c>
      <c r="T30" s="232">
        <f>145000/C30/12</f>
        <v>2.0868954479772945</v>
      </c>
      <c r="U30" s="132">
        <f t="shared" si="6"/>
        <v>2.09</v>
      </c>
      <c r="V30" s="121">
        <f t="shared" si="7"/>
        <v>145215.70799999998</v>
      </c>
      <c r="W30" s="132">
        <f t="shared" si="20"/>
        <v>145216</v>
      </c>
      <c r="X30" s="232">
        <f>185000/C30/12</f>
        <v>2.662590743971031</v>
      </c>
      <c r="Y30" s="132">
        <f t="shared" si="8"/>
        <v>2.66</v>
      </c>
      <c r="Z30" s="132">
        <f t="shared" si="9"/>
        <v>184819.99200000003</v>
      </c>
      <c r="AA30" s="132">
        <f t="shared" si="21"/>
        <v>184820</v>
      </c>
      <c r="AB30" s="167">
        <f>24000/C30/12</f>
        <v>0.34541717759624185</v>
      </c>
      <c r="AC30" s="132">
        <f t="shared" si="22"/>
        <v>0.35</v>
      </c>
      <c r="AD30" s="130">
        <f t="shared" si="10"/>
        <v>24318.420000000002</v>
      </c>
      <c r="AE30" s="178">
        <f t="shared" si="23"/>
        <v>24318</v>
      </c>
      <c r="AF30" s="287">
        <f>15000/C30/12</f>
        <v>0.21588573599765115</v>
      </c>
      <c r="AG30" s="288">
        <f t="shared" si="24"/>
        <v>0.22</v>
      </c>
      <c r="AH30" s="289">
        <f t="shared" si="25"/>
        <v>15285.864000000001</v>
      </c>
      <c r="AI30" s="287">
        <f t="shared" si="26"/>
        <v>15286</v>
      </c>
      <c r="AJ30" s="289">
        <f t="shared" si="27"/>
        <v>0.21588573599765115</v>
      </c>
      <c r="AK30" s="288">
        <f t="shared" si="28"/>
        <v>0.22</v>
      </c>
      <c r="AL30" s="289">
        <f t="shared" si="29"/>
        <v>15285.864000000001</v>
      </c>
      <c r="AM30" s="289">
        <f t="shared" si="30"/>
        <v>15286</v>
      </c>
      <c r="AN30" s="218">
        <f>4500/C30/12</f>
        <v>0.06476572079929534</v>
      </c>
      <c r="AO30" s="167">
        <f t="shared" si="31"/>
        <v>0.06</v>
      </c>
      <c r="AP30" s="218">
        <f t="shared" si="46"/>
        <v>4168.872</v>
      </c>
      <c r="AQ30" s="218">
        <f t="shared" si="32"/>
        <v>4169</v>
      </c>
      <c r="AR30" s="218">
        <f t="shared" si="33"/>
        <v>0</v>
      </c>
      <c r="AS30" s="167">
        <f t="shared" si="34"/>
        <v>0</v>
      </c>
      <c r="AT30" s="218">
        <f t="shared" si="48"/>
        <v>0</v>
      </c>
      <c r="AU30" s="218">
        <f t="shared" si="12"/>
        <v>0</v>
      </c>
      <c r="AV30" s="218">
        <f t="shared" si="47"/>
        <v>0</v>
      </c>
      <c r="AW30" s="218">
        <f t="shared" si="35"/>
        <v>0</v>
      </c>
      <c r="AX30" s="218">
        <f t="shared" si="36"/>
        <v>0</v>
      </c>
      <c r="AY30" s="218">
        <f t="shared" si="37"/>
        <v>0</v>
      </c>
      <c r="AZ30" s="218">
        <f t="shared" si="38"/>
        <v>0</v>
      </c>
      <c r="BA30" s="218">
        <f aca="true" t="shared" si="50" ref="BA30:BA35">AZ30+ROUND(0,0)</f>
        <v>0</v>
      </c>
      <c r="BB30" s="218">
        <f t="shared" si="40"/>
        <v>0</v>
      </c>
      <c r="BC30" s="218">
        <f aca="true" t="shared" si="51" ref="BC30:BC35">BB30+ROUND(0,0)</f>
        <v>0</v>
      </c>
      <c r="BD30" s="196">
        <f t="shared" si="42"/>
        <v>6</v>
      </c>
      <c r="BE30" s="212">
        <f t="shared" si="43"/>
        <v>416887.20000000007</v>
      </c>
    </row>
    <row r="31" spans="1:57" ht="12.75">
      <c r="A31" s="207">
        <v>21</v>
      </c>
      <c r="B31" s="127" t="s">
        <v>65</v>
      </c>
      <c r="C31" s="132">
        <v>3855</v>
      </c>
      <c r="D31" s="121">
        <f>0/C31/12</f>
        <v>0</v>
      </c>
      <c r="E31" s="132">
        <f t="shared" si="13"/>
        <v>0</v>
      </c>
      <c r="F31" s="132">
        <f t="shared" si="14"/>
        <v>0</v>
      </c>
      <c r="G31" s="130">
        <f t="shared" si="0"/>
        <v>0</v>
      </c>
      <c r="H31" s="232">
        <f>10000/C31/12</f>
        <v>0.21616947686986598</v>
      </c>
      <c r="I31" s="130">
        <f t="shared" si="49"/>
        <v>0.2</v>
      </c>
      <c r="J31" s="130">
        <f t="shared" si="2"/>
        <v>9252</v>
      </c>
      <c r="K31" s="130">
        <f t="shared" si="15"/>
        <v>9252</v>
      </c>
      <c r="L31" s="232">
        <f>0/C31/12</f>
        <v>0</v>
      </c>
      <c r="M31" s="167">
        <f t="shared" si="44"/>
        <v>0</v>
      </c>
      <c r="N31" s="130">
        <f t="shared" si="4"/>
        <v>0</v>
      </c>
      <c r="O31" s="130">
        <f t="shared" si="16"/>
        <v>0</v>
      </c>
      <c r="P31" s="232">
        <f t="shared" si="17"/>
        <v>0</v>
      </c>
      <c r="Q31" s="132">
        <f t="shared" si="45"/>
        <v>0</v>
      </c>
      <c r="R31" s="131">
        <f t="shared" si="5"/>
        <v>0</v>
      </c>
      <c r="S31" s="131">
        <f t="shared" si="18"/>
        <v>0</v>
      </c>
      <c r="T31" s="232">
        <f>150000/C31/12</f>
        <v>3.242542153047989</v>
      </c>
      <c r="U31" s="132">
        <f t="shared" si="6"/>
        <v>3.24</v>
      </c>
      <c r="V31" s="121">
        <f t="shared" si="7"/>
        <v>149882.40000000002</v>
      </c>
      <c r="W31" s="132">
        <f t="shared" si="20"/>
        <v>149882</v>
      </c>
      <c r="X31" s="232">
        <f>0/C31/12</f>
        <v>0</v>
      </c>
      <c r="Y31" s="132">
        <f t="shared" si="8"/>
        <v>0</v>
      </c>
      <c r="Z31" s="132">
        <f t="shared" si="9"/>
        <v>0</v>
      </c>
      <c r="AA31" s="132">
        <f t="shared" si="21"/>
        <v>0</v>
      </c>
      <c r="AB31" s="167">
        <f>26000/C31/12</f>
        <v>0.5620406398616515</v>
      </c>
      <c r="AC31" s="132">
        <f t="shared" si="22"/>
        <v>0.56</v>
      </c>
      <c r="AD31" s="130">
        <f t="shared" si="10"/>
        <v>25905.600000000002</v>
      </c>
      <c r="AE31" s="178">
        <f t="shared" si="23"/>
        <v>25906</v>
      </c>
      <c r="AF31" s="287">
        <f>15000/C31/12</f>
        <v>0.324254215304799</v>
      </c>
      <c r="AG31" s="288">
        <f t="shared" si="24"/>
        <v>0.32</v>
      </c>
      <c r="AH31" s="289">
        <f t="shared" si="25"/>
        <v>14803.2</v>
      </c>
      <c r="AI31" s="287">
        <f t="shared" si="26"/>
        <v>14803</v>
      </c>
      <c r="AJ31" s="289">
        <f t="shared" si="27"/>
        <v>0.324254215304799</v>
      </c>
      <c r="AK31" s="288">
        <f t="shared" si="28"/>
        <v>0.32</v>
      </c>
      <c r="AL31" s="289">
        <f t="shared" si="29"/>
        <v>14803.2</v>
      </c>
      <c r="AM31" s="289">
        <f t="shared" si="30"/>
        <v>14803</v>
      </c>
      <c r="AN31" s="218">
        <f>3000/C31/12</f>
        <v>0.0648508430609598</v>
      </c>
      <c r="AO31" s="167">
        <f t="shared" si="31"/>
        <v>0.06</v>
      </c>
      <c r="AP31" s="218">
        <f t="shared" si="46"/>
        <v>2775.6</v>
      </c>
      <c r="AQ31" s="218">
        <f t="shared" si="32"/>
        <v>2776</v>
      </c>
      <c r="AR31" s="218">
        <f t="shared" si="33"/>
        <v>0</v>
      </c>
      <c r="AS31" s="167">
        <f t="shared" si="34"/>
        <v>0</v>
      </c>
      <c r="AT31" s="218">
        <f t="shared" si="48"/>
        <v>0</v>
      </c>
      <c r="AU31" s="218">
        <f t="shared" si="12"/>
        <v>0</v>
      </c>
      <c r="AV31" s="218">
        <f t="shared" si="47"/>
        <v>0</v>
      </c>
      <c r="AW31" s="218">
        <f t="shared" si="35"/>
        <v>0</v>
      </c>
      <c r="AX31" s="218">
        <f t="shared" si="36"/>
        <v>0</v>
      </c>
      <c r="AY31" s="218">
        <f t="shared" si="37"/>
        <v>0</v>
      </c>
      <c r="AZ31" s="218">
        <f t="shared" si="38"/>
        <v>0</v>
      </c>
      <c r="BA31" s="218">
        <f t="shared" si="50"/>
        <v>0</v>
      </c>
      <c r="BB31" s="218">
        <f t="shared" si="40"/>
        <v>0</v>
      </c>
      <c r="BC31" s="218">
        <f t="shared" si="51"/>
        <v>0</v>
      </c>
      <c r="BD31" s="196">
        <f t="shared" si="42"/>
        <v>4.7</v>
      </c>
      <c r="BE31" s="212">
        <f t="shared" si="43"/>
        <v>217422</v>
      </c>
    </row>
    <row r="32" spans="1:57" ht="12.75">
      <c r="A32" s="207">
        <v>22</v>
      </c>
      <c r="B32" s="126" t="s">
        <v>66</v>
      </c>
      <c r="C32" s="132">
        <v>5853.2</v>
      </c>
      <c r="D32" s="121">
        <f>0/C32/12</f>
        <v>0</v>
      </c>
      <c r="E32" s="132">
        <f t="shared" si="13"/>
        <v>0</v>
      </c>
      <c r="F32" s="132">
        <f t="shared" si="14"/>
        <v>0</v>
      </c>
      <c r="G32" s="130">
        <f t="shared" si="0"/>
        <v>0</v>
      </c>
      <c r="H32" s="232">
        <f>0/C32/12</f>
        <v>0</v>
      </c>
      <c r="I32" s="130">
        <f t="shared" si="49"/>
        <v>0</v>
      </c>
      <c r="J32" s="130">
        <f t="shared" si="2"/>
        <v>0</v>
      </c>
      <c r="K32" s="130">
        <f t="shared" si="15"/>
        <v>0</v>
      </c>
      <c r="L32" s="232">
        <f t="shared" si="3"/>
        <v>0</v>
      </c>
      <c r="M32" s="167">
        <f t="shared" si="44"/>
        <v>0</v>
      </c>
      <c r="N32" s="130">
        <f t="shared" si="4"/>
        <v>0</v>
      </c>
      <c r="O32" s="130">
        <f t="shared" si="16"/>
        <v>0</v>
      </c>
      <c r="P32" s="232">
        <f t="shared" si="17"/>
        <v>0</v>
      </c>
      <c r="Q32" s="132">
        <f t="shared" si="45"/>
        <v>0</v>
      </c>
      <c r="R32" s="131">
        <f t="shared" si="5"/>
        <v>0</v>
      </c>
      <c r="S32" s="131">
        <f t="shared" si="18"/>
        <v>0</v>
      </c>
      <c r="T32" s="232">
        <f>45000/C32/12</f>
        <v>0.6406751862229209</v>
      </c>
      <c r="U32" s="132">
        <f t="shared" si="6"/>
        <v>0.64</v>
      </c>
      <c r="V32" s="121">
        <f t="shared" si="7"/>
        <v>44952.576</v>
      </c>
      <c r="W32" s="132">
        <f t="shared" si="20"/>
        <v>44953</v>
      </c>
      <c r="X32" s="232">
        <f>0/C32/12</f>
        <v>0</v>
      </c>
      <c r="Y32" s="132">
        <f t="shared" si="8"/>
        <v>0</v>
      </c>
      <c r="Z32" s="132">
        <f t="shared" si="9"/>
        <v>0</v>
      </c>
      <c r="AA32" s="132">
        <f t="shared" si="21"/>
        <v>0</v>
      </c>
      <c r="AB32" s="167">
        <f>11000/C32/12</f>
        <v>0.15660948996560287</v>
      </c>
      <c r="AC32" s="132">
        <f t="shared" si="22"/>
        <v>0.16</v>
      </c>
      <c r="AD32" s="130">
        <f t="shared" si="10"/>
        <v>11238.144</v>
      </c>
      <c r="AE32" s="178">
        <f t="shared" si="23"/>
        <v>11238</v>
      </c>
      <c r="AF32" s="287">
        <f>21000/C32/12</f>
        <v>0.2989817535706964</v>
      </c>
      <c r="AG32" s="288">
        <f t="shared" si="24"/>
        <v>0.3</v>
      </c>
      <c r="AH32" s="289">
        <f t="shared" si="25"/>
        <v>21071.519999999997</v>
      </c>
      <c r="AI32" s="287">
        <f t="shared" si="26"/>
        <v>21072</v>
      </c>
      <c r="AJ32" s="289">
        <f t="shared" si="27"/>
        <v>0.2135583954076403</v>
      </c>
      <c r="AK32" s="288">
        <f t="shared" si="28"/>
        <v>0.21</v>
      </c>
      <c r="AL32" s="289">
        <f t="shared" si="29"/>
        <v>14750.064</v>
      </c>
      <c r="AM32" s="289">
        <f t="shared" si="30"/>
        <v>14750</v>
      </c>
      <c r="AN32" s="218">
        <f>4500/C32/12</f>
        <v>0.06406751862229208</v>
      </c>
      <c r="AO32" s="167">
        <f t="shared" si="31"/>
        <v>0.06</v>
      </c>
      <c r="AP32" s="218">
        <f t="shared" si="46"/>
        <v>4214.303999999999</v>
      </c>
      <c r="AQ32" s="218">
        <f t="shared" si="32"/>
        <v>4214</v>
      </c>
      <c r="AR32" s="218">
        <f t="shared" si="33"/>
        <v>0</v>
      </c>
      <c r="AS32" s="167">
        <f t="shared" si="34"/>
        <v>0</v>
      </c>
      <c r="AT32" s="218">
        <f t="shared" si="48"/>
        <v>0</v>
      </c>
      <c r="AU32" s="218">
        <f t="shared" si="12"/>
        <v>0</v>
      </c>
      <c r="AV32" s="218">
        <f t="shared" si="47"/>
        <v>0</v>
      </c>
      <c r="AW32" s="218">
        <f t="shared" si="35"/>
        <v>0</v>
      </c>
      <c r="AX32" s="218">
        <f t="shared" si="36"/>
        <v>0</v>
      </c>
      <c r="AY32" s="218">
        <f t="shared" si="37"/>
        <v>0</v>
      </c>
      <c r="AZ32" s="218">
        <f t="shared" si="38"/>
        <v>0</v>
      </c>
      <c r="BA32" s="218">
        <f t="shared" si="50"/>
        <v>0</v>
      </c>
      <c r="BB32" s="218">
        <f t="shared" si="40"/>
        <v>0</v>
      </c>
      <c r="BC32" s="218">
        <f t="shared" si="51"/>
        <v>0</v>
      </c>
      <c r="BD32" s="196">
        <f t="shared" si="42"/>
        <v>1.37</v>
      </c>
      <c r="BE32" s="212">
        <f t="shared" si="43"/>
        <v>96226.60800000001</v>
      </c>
    </row>
    <row r="33" spans="1:57" ht="12.75">
      <c r="A33" s="207">
        <v>23</v>
      </c>
      <c r="B33" s="126" t="s">
        <v>67</v>
      </c>
      <c r="C33" s="132">
        <v>3852.92</v>
      </c>
      <c r="D33" s="121">
        <f>25000/C33/12</f>
        <v>0.5407154400645052</v>
      </c>
      <c r="E33" s="132">
        <f t="shared" si="13"/>
        <v>0.54</v>
      </c>
      <c r="F33" s="132">
        <f t="shared" si="14"/>
        <v>24966.9216</v>
      </c>
      <c r="G33" s="130">
        <f t="shared" si="0"/>
        <v>24967</v>
      </c>
      <c r="H33" s="232">
        <f>0/C33/12</f>
        <v>0</v>
      </c>
      <c r="I33" s="130">
        <f t="shared" si="49"/>
        <v>0</v>
      </c>
      <c r="J33" s="130">
        <f t="shared" si="2"/>
        <v>0</v>
      </c>
      <c r="K33" s="130">
        <f t="shared" si="15"/>
        <v>0</v>
      </c>
      <c r="L33" s="232">
        <f t="shared" si="3"/>
        <v>0</v>
      </c>
      <c r="M33" s="167">
        <f t="shared" si="44"/>
        <v>0</v>
      </c>
      <c r="N33" s="130">
        <f t="shared" si="4"/>
        <v>0</v>
      </c>
      <c r="O33" s="130">
        <f t="shared" si="16"/>
        <v>0</v>
      </c>
      <c r="P33" s="232">
        <f t="shared" si="17"/>
        <v>0</v>
      </c>
      <c r="Q33" s="132">
        <f t="shared" si="45"/>
        <v>0</v>
      </c>
      <c r="R33" s="131">
        <f t="shared" si="5"/>
        <v>0</v>
      </c>
      <c r="S33" s="131">
        <f t="shared" si="18"/>
        <v>0</v>
      </c>
      <c r="T33" s="232">
        <f t="shared" si="19"/>
        <v>0</v>
      </c>
      <c r="U33" s="132">
        <f t="shared" si="6"/>
        <v>0</v>
      </c>
      <c r="V33" s="121">
        <f t="shared" si="7"/>
        <v>0</v>
      </c>
      <c r="W33" s="132">
        <f t="shared" si="20"/>
        <v>0</v>
      </c>
      <c r="X33" s="232">
        <f>13000/C33/12</f>
        <v>0.2811720288335427</v>
      </c>
      <c r="Y33" s="132">
        <f t="shared" si="8"/>
        <v>0.28</v>
      </c>
      <c r="Z33" s="132">
        <f t="shared" si="9"/>
        <v>12945.8112</v>
      </c>
      <c r="AA33" s="132">
        <f t="shared" si="21"/>
        <v>12946</v>
      </c>
      <c r="AB33" s="167">
        <f>0/C33/12</f>
        <v>0</v>
      </c>
      <c r="AC33" s="132">
        <f t="shared" si="22"/>
        <v>0</v>
      </c>
      <c r="AD33" s="130">
        <f t="shared" si="10"/>
        <v>0</v>
      </c>
      <c r="AE33" s="178">
        <f t="shared" si="23"/>
        <v>0</v>
      </c>
      <c r="AF33" s="287">
        <f>15000/C33/12</f>
        <v>0.3244292640387031</v>
      </c>
      <c r="AG33" s="288">
        <f t="shared" si="24"/>
        <v>0.32</v>
      </c>
      <c r="AH33" s="289">
        <f t="shared" si="25"/>
        <v>14795.212800000001</v>
      </c>
      <c r="AI33" s="287">
        <f t="shared" si="26"/>
        <v>14795</v>
      </c>
      <c r="AJ33" s="289">
        <f t="shared" si="27"/>
        <v>0.3244292640387031</v>
      </c>
      <c r="AK33" s="288">
        <f t="shared" si="28"/>
        <v>0.32</v>
      </c>
      <c r="AL33" s="289">
        <f t="shared" si="29"/>
        <v>14795.212800000001</v>
      </c>
      <c r="AM33" s="289">
        <f t="shared" si="30"/>
        <v>14795</v>
      </c>
      <c r="AN33" s="218">
        <f>3000/C33/12</f>
        <v>0.06488585280774062</v>
      </c>
      <c r="AO33" s="167">
        <f t="shared" si="31"/>
        <v>0.06</v>
      </c>
      <c r="AP33" s="218">
        <f t="shared" si="46"/>
        <v>2774.1023999999998</v>
      </c>
      <c r="AQ33" s="218">
        <f t="shared" si="32"/>
        <v>2774</v>
      </c>
      <c r="AR33" s="218">
        <f t="shared" si="33"/>
        <v>0</v>
      </c>
      <c r="AS33" s="167">
        <f t="shared" si="34"/>
        <v>0</v>
      </c>
      <c r="AT33" s="218">
        <f t="shared" si="48"/>
        <v>0</v>
      </c>
      <c r="AU33" s="218">
        <f t="shared" si="12"/>
        <v>0</v>
      </c>
      <c r="AV33" s="218">
        <f t="shared" si="47"/>
        <v>0</v>
      </c>
      <c r="AW33" s="218">
        <f t="shared" si="35"/>
        <v>0</v>
      </c>
      <c r="AX33" s="218">
        <f t="shared" si="36"/>
        <v>0</v>
      </c>
      <c r="AY33" s="218">
        <f t="shared" si="37"/>
        <v>0</v>
      </c>
      <c r="AZ33" s="218">
        <f t="shared" si="38"/>
        <v>0</v>
      </c>
      <c r="BA33" s="218">
        <f t="shared" si="50"/>
        <v>0</v>
      </c>
      <c r="BB33" s="218">
        <f t="shared" si="40"/>
        <v>0</v>
      </c>
      <c r="BC33" s="218">
        <f t="shared" si="51"/>
        <v>0</v>
      </c>
      <c r="BD33" s="196">
        <f t="shared" si="42"/>
        <v>1.52</v>
      </c>
      <c r="BE33" s="212">
        <f t="shared" si="43"/>
        <v>70277.2608</v>
      </c>
    </row>
    <row r="34" spans="1:57" ht="12.75">
      <c r="A34" s="207">
        <v>24</v>
      </c>
      <c r="B34" s="126" t="s">
        <v>68</v>
      </c>
      <c r="C34" s="132">
        <v>5853.2</v>
      </c>
      <c r="D34" s="121">
        <f>50000/C34/12</f>
        <v>0.7118613180254676</v>
      </c>
      <c r="E34" s="132">
        <f t="shared" si="13"/>
        <v>0.71</v>
      </c>
      <c r="F34" s="132">
        <f t="shared" si="14"/>
        <v>49869.263999999996</v>
      </c>
      <c r="G34" s="130">
        <f t="shared" si="0"/>
        <v>49869</v>
      </c>
      <c r="H34" s="232">
        <f>25000/C34/12</f>
        <v>0.3559306590127338</v>
      </c>
      <c r="I34" s="130">
        <f t="shared" si="49"/>
        <v>0.4</v>
      </c>
      <c r="J34" s="130">
        <f t="shared" si="2"/>
        <v>28095.36</v>
      </c>
      <c r="K34" s="130">
        <f t="shared" si="15"/>
        <v>28095</v>
      </c>
      <c r="L34" s="232">
        <f t="shared" si="3"/>
        <v>0</v>
      </c>
      <c r="M34" s="167">
        <f t="shared" si="44"/>
        <v>0</v>
      </c>
      <c r="N34" s="130">
        <f t="shared" si="4"/>
        <v>0</v>
      </c>
      <c r="O34" s="130">
        <f t="shared" si="16"/>
        <v>0</v>
      </c>
      <c r="P34" s="232">
        <f t="shared" si="17"/>
        <v>0</v>
      </c>
      <c r="Q34" s="132">
        <f t="shared" si="45"/>
        <v>0</v>
      </c>
      <c r="R34" s="131">
        <f t="shared" si="5"/>
        <v>0</v>
      </c>
      <c r="S34" s="131">
        <f t="shared" si="18"/>
        <v>0</v>
      </c>
      <c r="T34" s="232">
        <f t="shared" si="19"/>
        <v>0</v>
      </c>
      <c r="U34" s="132">
        <f t="shared" si="6"/>
        <v>0</v>
      </c>
      <c r="V34" s="121">
        <f t="shared" si="7"/>
        <v>0</v>
      </c>
      <c r="W34" s="132">
        <f t="shared" si="20"/>
        <v>0</v>
      </c>
      <c r="X34" s="232">
        <f>185000/C34/12</f>
        <v>2.63388687669423</v>
      </c>
      <c r="Y34" s="132">
        <f t="shared" si="8"/>
        <v>2.63</v>
      </c>
      <c r="Z34" s="132">
        <f t="shared" si="9"/>
        <v>184726.992</v>
      </c>
      <c r="AA34" s="132">
        <f t="shared" si="21"/>
        <v>184727</v>
      </c>
      <c r="AB34" s="167">
        <f>33000/C34/12</f>
        <v>0.46982846989680854</v>
      </c>
      <c r="AC34" s="132">
        <f t="shared" si="22"/>
        <v>0.47</v>
      </c>
      <c r="AD34" s="130">
        <f t="shared" si="10"/>
        <v>33012.047999999995</v>
      </c>
      <c r="AE34" s="178">
        <f t="shared" si="23"/>
        <v>33012</v>
      </c>
      <c r="AF34" s="287">
        <f>21000/C34/12</f>
        <v>0.2989817535706964</v>
      </c>
      <c r="AG34" s="288">
        <f t="shared" si="24"/>
        <v>0.3</v>
      </c>
      <c r="AH34" s="289">
        <f t="shared" si="25"/>
        <v>21071.519999999997</v>
      </c>
      <c r="AI34" s="287">
        <f t="shared" si="26"/>
        <v>21072</v>
      </c>
      <c r="AJ34" s="289">
        <f t="shared" si="27"/>
        <v>0.2135583954076403</v>
      </c>
      <c r="AK34" s="288">
        <f t="shared" si="28"/>
        <v>0.21</v>
      </c>
      <c r="AL34" s="289">
        <f t="shared" si="29"/>
        <v>14750.064</v>
      </c>
      <c r="AM34" s="289">
        <f t="shared" si="30"/>
        <v>14750</v>
      </c>
      <c r="AN34" s="218">
        <f>4500/C34/12</f>
        <v>0.06406751862229208</v>
      </c>
      <c r="AO34" s="167">
        <f t="shared" si="31"/>
        <v>0.06</v>
      </c>
      <c r="AP34" s="218">
        <f t="shared" si="46"/>
        <v>4214.303999999999</v>
      </c>
      <c r="AQ34" s="218">
        <f t="shared" si="32"/>
        <v>4214</v>
      </c>
      <c r="AR34" s="218">
        <f t="shared" si="33"/>
        <v>0</v>
      </c>
      <c r="AS34" s="167">
        <f t="shared" si="34"/>
        <v>0</v>
      </c>
      <c r="AT34" s="218">
        <f t="shared" si="48"/>
        <v>0</v>
      </c>
      <c r="AU34" s="218">
        <f t="shared" si="12"/>
        <v>0</v>
      </c>
      <c r="AV34" s="218">
        <f t="shared" si="47"/>
        <v>0</v>
      </c>
      <c r="AW34" s="218">
        <f t="shared" si="35"/>
        <v>0</v>
      </c>
      <c r="AX34" s="218">
        <f t="shared" si="36"/>
        <v>0</v>
      </c>
      <c r="AY34" s="218">
        <f t="shared" si="37"/>
        <v>0</v>
      </c>
      <c r="AZ34" s="218">
        <f t="shared" si="38"/>
        <v>0</v>
      </c>
      <c r="BA34" s="218">
        <f t="shared" si="50"/>
        <v>0</v>
      </c>
      <c r="BB34" s="218">
        <f t="shared" si="40"/>
        <v>0</v>
      </c>
      <c r="BC34" s="218">
        <f t="shared" si="51"/>
        <v>0</v>
      </c>
      <c r="BD34" s="196">
        <f t="shared" si="42"/>
        <v>4.78</v>
      </c>
      <c r="BE34" s="212">
        <f t="shared" si="43"/>
        <v>335739.552</v>
      </c>
    </row>
    <row r="35" spans="1:57" ht="12.75">
      <c r="A35" s="207">
        <v>25</v>
      </c>
      <c r="B35" s="126" t="s">
        <v>69</v>
      </c>
      <c r="C35" s="132">
        <v>5845.12</v>
      </c>
      <c r="D35" s="121">
        <f>40000/C35/12</f>
        <v>0.5702762874557465</v>
      </c>
      <c r="E35" s="132">
        <f t="shared" si="13"/>
        <v>0.57</v>
      </c>
      <c r="F35" s="132">
        <f t="shared" si="14"/>
        <v>39980.6208</v>
      </c>
      <c r="G35" s="130">
        <f t="shared" si="0"/>
        <v>39981</v>
      </c>
      <c r="H35" s="232">
        <f>15000/C35/12</f>
        <v>0.21385360779590498</v>
      </c>
      <c r="I35" s="130">
        <f t="shared" si="49"/>
        <v>0.2</v>
      </c>
      <c r="J35" s="130">
        <f t="shared" si="2"/>
        <v>14028.288</v>
      </c>
      <c r="K35" s="130">
        <f t="shared" si="15"/>
        <v>14028</v>
      </c>
      <c r="L35" s="232">
        <f>12000/C35/12</f>
        <v>0.17108288623672396</v>
      </c>
      <c r="M35" s="167">
        <f t="shared" si="44"/>
        <v>0.17</v>
      </c>
      <c r="N35" s="130">
        <f t="shared" si="4"/>
        <v>11924.044800000001</v>
      </c>
      <c r="O35" s="130">
        <f t="shared" si="16"/>
        <v>11924</v>
      </c>
      <c r="P35" s="232">
        <f>15000/C35/12</f>
        <v>0.21385360779590498</v>
      </c>
      <c r="Q35" s="132">
        <f t="shared" si="45"/>
        <v>0.21</v>
      </c>
      <c r="R35" s="131">
        <f t="shared" si="5"/>
        <v>14729.702399999998</v>
      </c>
      <c r="S35" s="131">
        <f t="shared" si="18"/>
        <v>14730</v>
      </c>
      <c r="T35" s="232">
        <f t="shared" si="19"/>
        <v>0</v>
      </c>
      <c r="U35" s="132">
        <f t="shared" si="6"/>
        <v>0</v>
      </c>
      <c r="V35" s="121">
        <f t="shared" si="7"/>
        <v>0</v>
      </c>
      <c r="W35" s="132">
        <f t="shared" si="20"/>
        <v>0</v>
      </c>
      <c r="X35" s="232">
        <f>20000/C35/12</f>
        <v>0.28513814372787327</v>
      </c>
      <c r="Y35" s="132">
        <f t="shared" si="8"/>
        <v>0.29</v>
      </c>
      <c r="Z35" s="132">
        <f t="shared" si="9"/>
        <v>20341.0176</v>
      </c>
      <c r="AA35" s="132">
        <f t="shared" si="21"/>
        <v>20341</v>
      </c>
      <c r="AB35" s="167">
        <f>40000/C35/12</f>
        <v>0.5702762874557465</v>
      </c>
      <c r="AC35" s="132">
        <f t="shared" si="22"/>
        <v>0.57</v>
      </c>
      <c r="AD35" s="130">
        <f t="shared" si="10"/>
        <v>39980.6208</v>
      </c>
      <c r="AE35" s="178">
        <f t="shared" si="23"/>
        <v>39981</v>
      </c>
      <c r="AF35" s="287">
        <f>15000/C35/12</f>
        <v>0.21385360779590498</v>
      </c>
      <c r="AG35" s="288">
        <f t="shared" si="24"/>
        <v>0.21</v>
      </c>
      <c r="AH35" s="289"/>
      <c r="AI35" s="287">
        <f t="shared" si="26"/>
        <v>0</v>
      </c>
      <c r="AJ35" s="289">
        <f>15000/C35/12</f>
        <v>0.21385360779590498</v>
      </c>
      <c r="AK35" s="288">
        <f t="shared" si="28"/>
        <v>0.21</v>
      </c>
      <c r="AL35" s="289"/>
      <c r="AM35" s="289">
        <f t="shared" si="30"/>
        <v>0</v>
      </c>
      <c r="AN35" s="218">
        <f>4500/C35/12</f>
        <v>0.06415608233877149</v>
      </c>
      <c r="AO35" s="167">
        <f t="shared" si="31"/>
        <v>0.06</v>
      </c>
      <c r="AP35" s="218">
        <f t="shared" si="46"/>
        <v>4208.4864</v>
      </c>
      <c r="AQ35" s="218">
        <f t="shared" si="32"/>
        <v>4208</v>
      </c>
      <c r="AR35" s="218">
        <f t="shared" si="33"/>
        <v>0</v>
      </c>
      <c r="AS35" s="167">
        <f t="shared" si="34"/>
        <v>0</v>
      </c>
      <c r="AT35" s="218">
        <f t="shared" si="48"/>
        <v>0</v>
      </c>
      <c r="AU35" s="218">
        <f t="shared" si="12"/>
        <v>0</v>
      </c>
      <c r="AV35" s="218">
        <f t="shared" si="47"/>
        <v>0</v>
      </c>
      <c r="AW35" s="218">
        <f t="shared" si="35"/>
        <v>0</v>
      </c>
      <c r="AX35" s="218">
        <f t="shared" si="36"/>
        <v>0</v>
      </c>
      <c r="AY35" s="218">
        <f t="shared" si="37"/>
        <v>0</v>
      </c>
      <c r="AZ35" s="218">
        <f t="shared" si="38"/>
        <v>0</v>
      </c>
      <c r="BA35" s="218">
        <f t="shared" si="50"/>
        <v>0</v>
      </c>
      <c r="BB35" s="218">
        <f t="shared" si="40"/>
        <v>0</v>
      </c>
      <c r="BC35" s="218">
        <f t="shared" si="51"/>
        <v>0</v>
      </c>
      <c r="BD35" s="196">
        <f t="shared" si="42"/>
        <v>2.4899999999999998</v>
      </c>
      <c r="BE35" s="212">
        <f t="shared" si="43"/>
        <v>174652.18559999997</v>
      </c>
    </row>
    <row r="36" spans="1:57" ht="12.75">
      <c r="A36" s="294"/>
      <c r="B36" s="182"/>
      <c r="C36" s="295"/>
      <c r="D36" s="296"/>
      <c r="E36" s="297"/>
      <c r="F36" s="297"/>
      <c r="G36" s="298"/>
      <c r="H36" s="299"/>
      <c r="I36" s="298"/>
      <c r="J36" s="298"/>
      <c r="K36" s="298"/>
      <c r="L36" s="299"/>
      <c r="M36" s="300"/>
      <c r="N36" s="298"/>
      <c r="O36" s="298"/>
      <c r="P36" s="299"/>
      <c r="Q36" s="297">
        <f t="shared" si="45"/>
        <v>0</v>
      </c>
      <c r="R36" s="301">
        <f t="shared" si="5"/>
        <v>0</v>
      </c>
      <c r="S36" s="301">
        <f t="shared" si="18"/>
        <v>0</v>
      </c>
      <c r="T36" s="299"/>
      <c r="U36" s="297"/>
      <c r="V36" s="296"/>
      <c r="W36" s="297"/>
      <c r="X36" s="299"/>
      <c r="Y36" s="297"/>
      <c r="Z36" s="297">
        <f>SUM(Z11:Z35)</f>
        <v>738509.1708000001</v>
      </c>
      <c r="AA36" s="297">
        <f t="shared" si="21"/>
        <v>738509</v>
      </c>
      <c r="AB36" s="302"/>
      <c r="AC36" s="297"/>
      <c r="AD36" s="298">
        <f>SUM(AD11:AD35)</f>
        <v>558619.4748</v>
      </c>
      <c r="AE36" s="303">
        <f t="shared" si="23"/>
        <v>558619</v>
      </c>
      <c r="AF36" s="304"/>
      <c r="AG36" s="305"/>
      <c r="AH36" s="306">
        <f>SUM(AH11:AH35)</f>
        <v>392559.0492</v>
      </c>
      <c r="AI36" s="304">
        <f t="shared" si="26"/>
        <v>392559</v>
      </c>
      <c r="AJ36" s="306"/>
      <c r="AK36" s="305"/>
      <c r="AL36" s="306">
        <f>SUM(AL11:AL35)</f>
        <v>358791.7404</v>
      </c>
      <c r="AM36" s="306">
        <f t="shared" si="30"/>
        <v>358792</v>
      </c>
      <c r="AN36" s="307"/>
      <c r="AO36" s="300"/>
      <c r="AP36" s="307"/>
      <c r="AQ36" s="307">
        <f>SUM(AQ11:AQ35)</f>
        <v>145413</v>
      </c>
      <c r="AR36" s="307" t="e">
        <f t="shared" si="33"/>
        <v>#DIV/0!</v>
      </c>
      <c r="AS36" s="300" t="e">
        <f t="shared" si="34"/>
        <v>#DIV/0!</v>
      </c>
      <c r="AT36" s="307" t="e">
        <f t="shared" si="48"/>
        <v>#DIV/0!</v>
      </c>
      <c r="AU36" s="307" t="e">
        <f t="shared" si="12"/>
        <v>#DIV/0!</v>
      </c>
      <c r="AV36" s="307"/>
      <c r="AW36" s="307">
        <f t="shared" si="35"/>
        <v>0</v>
      </c>
      <c r="AX36" s="307">
        <f t="shared" si="36"/>
        <v>0</v>
      </c>
      <c r="AY36" s="307">
        <f t="shared" si="37"/>
        <v>0</v>
      </c>
      <c r="AZ36" s="307"/>
      <c r="BA36" s="307"/>
      <c r="BB36" s="307"/>
      <c r="BC36" s="307"/>
      <c r="BD36" s="196">
        <f t="shared" si="42"/>
        <v>0</v>
      </c>
      <c r="BE36" s="212"/>
    </row>
    <row r="37" spans="1:57" ht="12.75">
      <c r="A37" s="182"/>
      <c r="B37" s="182"/>
      <c r="C37" s="183">
        <f>SUM(C11:C36)</f>
        <v>80526.86</v>
      </c>
      <c r="D37" s="230"/>
      <c r="E37" s="231"/>
      <c r="F37" s="181">
        <f>SUM(F11:F35)</f>
        <v>428005.0572</v>
      </c>
      <c r="G37" s="181">
        <f>SUM(G11:G35)</f>
        <v>428007</v>
      </c>
      <c r="H37" s="208"/>
      <c r="I37" s="181"/>
      <c r="J37" s="181">
        <f>SUM(J12:J35)</f>
        <v>253570.72079999995</v>
      </c>
      <c r="K37" s="181">
        <f>SUM(K11:K35)</f>
        <v>253570</v>
      </c>
      <c r="L37" s="183"/>
      <c r="M37" s="209"/>
      <c r="N37" s="181">
        <f>SUM(N11:N36)</f>
        <v>45996.38880000001</v>
      </c>
      <c r="O37" s="181">
        <f>SUM(O11:O36)</f>
        <v>45997</v>
      </c>
      <c r="P37" s="208"/>
      <c r="Q37" s="208"/>
      <c r="R37" s="208">
        <f>SUM(R11:R36)</f>
        <v>46398.2448</v>
      </c>
      <c r="S37" s="208">
        <f>SUM(S11:S36)</f>
        <v>46399</v>
      </c>
      <c r="T37" s="208"/>
      <c r="U37" s="210"/>
      <c r="V37" s="183"/>
      <c r="W37" s="181"/>
      <c r="X37" s="208"/>
      <c r="Y37" s="208"/>
      <c r="Z37" s="181"/>
      <c r="AA37" s="181"/>
      <c r="AB37" s="163"/>
      <c r="AC37" s="182"/>
      <c r="AD37" s="208"/>
      <c r="AE37" s="208"/>
      <c r="AF37" s="182"/>
      <c r="AG37" s="182"/>
      <c r="AH37" s="235">
        <f>SUM(AH11:AH36)</f>
        <v>785118.0984</v>
      </c>
      <c r="AI37" s="182">
        <f>SUM(AI11:AI36)</f>
        <v>785121</v>
      </c>
      <c r="AJ37" s="182"/>
      <c r="AK37" s="182"/>
      <c r="AL37" s="235">
        <f>SUM(AL11:AL36)</f>
        <v>717583.4808</v>
      </c>
      <c r="AM37" s="235">
        <f t="shared" si="30"/>
        <v>717583</v>
      </c>
      <c r="AN37" s="182"/>
      <c r="AO37" s="182"/>
      <c r="AP37" s="235"/>
      <c r="AQ37" s="182"/>
      <c r="AR37" s="182"/>
      <c r="AS37" s="182"/>
      <c r="AT37" s="235" t="e">
        <f>SUM(AT11:AT36)</f>
        <v>#DIV/0!</v>
      </c>
      <c r="AU37" s="235" t="e">
        <f>SUM(AU11:AU36)</f>
        <v>#DIV/0!</v>
      </c>
      <c r="AV37" s="235"/>
      <c r="AW37" s="235"/>
      <c r="AX37" s="235">
        <f>SUM(AX11:AX36)</f>
        <v>941048.64</v>
      </c>
      <c r="AY37" s="235">
        <f t="shared" si="37"/>
        <v>941049</v>
      </c>
      <c r="AZ37" s="235"/>
      <c r="BA37" s="235"/>
      <c r="BB37" s="235"/>
      <c r="BC37" s="235">
        <f>SUM(BC29:BC35)</f>
        <v>0</v>
      </c>
      <c r="BD37" s="235"/>
      <c r="BE37" s="258">
        <f>SUM(BE11:BE35)</f>
        <v>4908484.325999999</v>
      </c>
    </row>
    <row r="38" spans="1:57" ht="12.75">
      <c r="A38" s="180"/>
      <c r="B38" s="180"/>
      <c r="C38" s="165"/>
      <c r="D38" s="165"/>
      <c r="E38" s="179"/>
      <c r="F38" s="179"/>
      <c r="G38" s="179"/>
      <c r="H38" s="184"/>
      <c r="I38" s="179"/>
      <c r="J38" s="179"/>
      <c r="K38" s="179"/>
      <c r="L38" s="165"/>
      <c r="M38" s="203"/>
      <c r="N38" s="179"/>
      <c r="O38" s="179"/>
      <c r="P38" s="184"/>
      <c r="Q38" s="184"/>
      <c r="R38" s="184"/>
      <c r="S38" s="184"/>
      <c r="T38" s="184"/>
      <c r="U38" s="204"/>
      <c r="V38" s="184"/>
      <c r="W38" s="179"/>
      <c r="X38" s="184"/>
      <c r="Y38" s="184"/>
      <c r="Z38" s="179"/>
      <c r="AA38" s="179"/>
      <c r="AB38" s="180"/>
      <c r="AC38" s="180"/>
      <c r="AD38" s="184"/>
      <c r="AE38" s="184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259"/>
    </row>
    <row r="39" spans="21:57" ht="12.75">
      <c r="U39" s="237"/>
      <c r="V39" s="237"/>
      <c r="W39" s="237"/>
      <c r="X39" s="237"/>
      <c r="Y39" s="237"/>
      <c r="BE39" s="214"/>
    </row>
    <row r="40" spans="1:57" ht="12.75">
      <c r="A40" s="397" t="s">
        <v>106</v>
      </c>
      <c r="B40" s="398"/>
      <c r="C40" s="398"/>
      <c r="BE40" s="214"/>
    </row>
    <row r="41" spans="1:57" ht="12.75">
      <c r="A41" s="398"/>
      <c r="B41" s="398"/>
      <c r="C41" s="398"/>
      <c r="BE41" s="214"/>
    </row>
  </sheetData>
  <mergeCells count="8">
    <mergeCell ref="A40:C41"/>
    <mergeCell ref="A3:B3"/>
    <mergeCell ref="A5:BE5"/>
    <mergeCell ref="A6:BE6"/>
    <mergeCell ref="A8:A10"/>
    <mergeCell ref="B8:B10"/>
    <mergeCell ref="C8:C10"/>
    <mergeCell ref="D8:BE8"/>
  </mergeCells>
  <printOptions/>
  <pageMargins left="0.18" right="0.18" top="0.5" bottom="0.15" header="0.5" footer="0.18"/>
  <pageSetup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M53"/>
  <sheetViews>
    <sheetView view="pageBreakPreview" zoomScaleNormal="75" zoomScaleSheetLayoutView="100" workbookViewId="0" topLeftCell="A4">
      <pane xSplit="4" ySplit="8" topLeftCell="F12" activePane="bottomRight" state="frozen"/>
      <selection pane="topLeft" activeCell="A4" sqref="A4"/>
      <selection pane="topRight" activeCell="D4" sqref="D4"/>
      <selection pane="bottomLeft" activeCell="A12" sqref="A12"/>
      <selection pane="bottomRight" activeCell="N45" sqref="N45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9.57421875" style="0" customWidth="1"/>
    <col min="4" max="4" width="0" style="0" hidden="1" customWidth="1"/>
    <col min="5" max="5" width="9.28125" style="0" hidden="1" customWidth="1"/>
    <col min="6" max="6" width="9.421875" style="0" bestFit="1" customWidth="1"/>
    <col min="7" max="7" width="9.28125" style="0" hidden="1" customWidth="1"/>
    <col min="8" max="8" width="9.421875" style="0" bestFit="1" customWidth="1"/>
    <col min="9" max="9" width="9.28125" style="0" hidden="1" customWidth="1"/>
    <col min="10" max="10" width="9.421875" style="0" bestFit="1" customWidth="1"/>
    <col min="11" max="11" width="9.28125" style="0" hidden="1" customWidth="1"/>
    <col min="12" max="12" width="9.421875" style="0" bestFit="1" customWidth="1"/>
    <col min="13" max="13" width="9.28125" style="0" hidden="1" customWidth="1"/>
    <col min="14" max="14" width="9.421875" style="0" bestFit="1" customWidth="1"/>
    <col min="15" max="15" width="9.28125" style="0" hidden="1" customWidth="1"/>
    <col min="16" max="16" width="9.421875" style="0" bestFit="1" customWidth="1"/>
    <col min="17" max="17" width="9.28125" style="0" hidden="1" customWidth="1"/>
    <col min="18" max="18" width="9.421875" style="0" bestFit="1" customWidth="1"/>
    <col min="19" max="19" width="9.28125" style="0" hidden="1" customWidth="1"/>
    <col min="20" max="20" width="9.421875" style="0" bestFit="1" customWidth="1"/>
    <col min="21" max="21" width="9.28125" style="0" hidden="1" customWidth="1"/>
    <col min="22" max="22" width="9.57421875" style="0" bestFit="1" customWidth="1"/>
    <col min="23" max="23" width="11.140625" style="0" hidden="1" customWidth="1"/>
    <col min="24" max="24" width="10.140625" style="0" bestFit="1" customWidth="1"/>
    <col min="25" max="25" width="9.421875" style="0" hidden="1" customWidth="1"/>
    <col min="26" max="26" width="9.57421875" style="0" bestFit="1" customWidth="1"/>
    <col min="27" max="27" width="10.00390625" style="0" hidden="1" customWidth="1"/>
    <col min="28" max="28" width="10.140625" style="0" bestFit="1" customWidth="1"/>
    <col min="29" max="29" width="9.421875" style="0" hidden="1" customWidth="1"/>
    <col min="30" max="30" width="9.57421875" style="0" bestFit="1" customWidth="1"/>
    <col min="31" max="31" width="9.421875" style="0" hidden="1" customWidth="1"/>
    <col min="32" max="32" width="9.57421875" style="0" bestFit="1" customWidth="1"/>
    <col min="33" max="36" width="9.28125" style="0" hidden="1" customWidth="1"/>
    <col min="37" max="37" width="9.421875" style="0" hidden="1" customWidth="1"/>
    <col min="38" max="38" width="9.57421875" style="0" bestFit="1" customWidth="1"/>
    <col min="39" max="39" width="9.421875" style="0" hidden="1" customWidth="1"/>
    <col min="40" max="40" width="9.57421875" style="0" bestFit="1" customWidth="1"/>
    <col min="41" max="41" width="9.421875" style="0" hidden="1" customWidth="1"/>
    <col min="42" max="42" width="9.421875" style="0" bestFit="1" customWidth="1"/>
    <col min="43" max="43" width="9.28125" style="0" hidden="1" customWidth="1"/>
    <col min="44" max="44" width="9.28125" style="0" bestFit="1" customWidth="1"/>
    <col min="45" max="45" width="9.140625" style="0" hidden="1" customWidth="1"/>
    <col min="46" max="46" width="9.28125" style="0" bestFit="1" customWidth="1"/>
    <col min="47" max="47" width="9.140625" style="0" hidden="1" customWidth="1"/>
    <col min="48" max="48" width="9.28125" style="0" bestFit="1" customWidth="1"/>
    <col min="49" max="49" width="9.140625" style="0" hidden="1" customWidth="1"/>
    <col min="50" max="50" width="9.421875" style="0" bestFit="1" customWidth="1"/>
    <col min="51" max="51" width="9.8515625" style="0" hidden="1" customWidth="1"/>
    <col min="52" max="52" width="10.00390625" style="0" bestFit="1" customWidth="1"/>
    <col min="53" max="53" width="9.28125" style="0" hidden="1" customWidth="1"/>
    <col min="54" max="54" width="9.28125" style="0" bestFit="1" customWidth="1"/>
    <col min="55" max="55" width="11.00390625" style="0" hidden="1" customWidth="1"/>
    <col min="56" max="56" width="11.00390625" style="0" bestFit="1" customWidth="1"/>
    <col min="57" max="57" width="9.28125" style="0" hidden="1" customWidth="1"/>
    <col min="58" max="58" width="9.28125" style="0" bestFit="1" customWidth="1"/>
    <col min="59" max="59" width="9.8515625" style="0" hidden="1" customWidth="1"/>
    <col min="60" max="60" width="9.8515625" style="0" bestFit="1" customWidth="1"/>
    <col min="61" max="61" width="9.8515625" style="0" customWidth="1"/>
    <col min="62" max="62" width="9.28125" style="0" hidden="1" customWidth="1"/>
    <col min="63" max="63" width="12.57421875" style="0" hidden="1" customWidth="1"/>
    <col min="64" max="64" width="12.57421875" style="0" customWidth="1"/>
    <col min="65" max="65" width="18.140625" style="0" hidden="1" customWidth="1"/>
  </cols>
  <sheetData>
    <row r="3" spans="1:64" ht="12.75">
      <c r="A3" s="133" t="s">
        <v>81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73"/>
      <c r="O3" s="133"/>
      <c r="P3" s="133"/>
      <c r="Q3" s="133"/>
      <c r="R3" s="133"/>
      <c r="S3" s="133"/>
      <c r="T3" s="133"/>
      <c r="U3" s="133"/>
      <c r="V3" s="175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64" ht="12.75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73"/>
      <c r="O4" s="133"/>
      <c r="P4" s="133"/>
      <c r="Q4" s="133"/>
      <c r="R4" s="133"/>
      <c r="S4" s="133"/>
      <c r="T4" s="133"/>
      <c r="U4" s="133"/>
      <c r="V4" s="175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64" ht="12.75">
      <c r="A5" s="399" t="s">
        <v>111</v>
      </c>
      <c r="B5" s="399"/>
      <c r="C5" s="361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73"/>
      <c r="O5" s="133"/>
      <c r="P5" s="133"/>
      <c r="Q5" s="133"/>
      <c r="R5" s="133"/>
      <c r="S5" s="133"/>
      <c r="T5" s="133"/>
      <c r="U5" s="133"/>
      <c r="V5" s="175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64" ht="12.75">
      <c r="A6" s="274"/>
      <c r="B6" s="274"/>
      <c r="C6" s="274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275"/>
      <c r="P6" s="275"/>
      <c r="Q6" s="275"/>
      <c r="R6" s="275"/>
      <c r="S6" s="275"/>
      <c r="T6" s="275"/>
      <c r="U6" s="275"/>
      <c r="V6" s="277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</row>
    <row r="7" spans="1:64" ht="14.25">
      <c r="A7" s="400" t="s">
        <v>124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246"/>
    </row>
    <row r="8" spans="1:64" ht="14.25">
      <c r="A8" s="400" t="s">
        <v>139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246"/>
    </row>
    <row r="9" spans="1:65" ht="12.75">
      <c r="A9" s="401" t="s">
        <v>1</v>
      </c>
      <c r="B9" s="401" t="s">
        <v>2</v>
      </c>
      <c r="C9" s="401" t="s">
        <v>63</v>
      </c>
      <c r="D9" s="401" t="s">
        <v>63</v>
      </c>
      <c r="E9" s="402" t="s">
        <v>7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4"/>
      <c r="BL9" s="362"/>
      <c r="BM9" s="213"/>
    </row>
    <row r="10" spans="1:65" ht="216.75" customHeight="1">
      <c r="A10" s="401"/>
      <c r="B10" s="401"/>
      <c r="C10" s="401"/>
      <c r="D10" s="401"/>
      <c r="E10" s="323" t="s">
        <v>8</v>
      </c>
      <c r="F10" s="355" t="s">
        <v>8</v>
      </c>
      <c r="G10" s="134" t="s">
        <v>72</v>
      </c>
      <c r="H10" s="278" t="s">
        <v>72</v>
      </c>
      <c r="I10" s="310" t="s">
        <v>90</v>
      </c>
      <c r="J10" s="356" t="s">
        <v>90</v>
      </c>
      <c r="K10" s="134" t="s">
        <v>72</v>
      </c>
      <c r="L10" s="278" t="s">
        <v>72</v>
      </c>
      <c r="M10" s="310" t="s">
        <v>11</v>
      </c>
      <c r="N10" s="357" t="s">
        <v>11</v>
      </c>
      <c r="O10" s="134" t="s">
        <v>72</v>
      </c>
      <c r="P10" s="278" t="s">
        <v>72</v>
      </c>
      <c r="Q10" s="310" t="s">
        <v>12</v>
      </c>
      <c r="R10" s="356" t="s">
        <v>12</v>
      </c>
      <c r="S10" s="134" t="s">
        <v>72</v>
      </c>
      <c r="T10" s="278" t="s">
        <v>72</v>
      </c>
      <c r="U10" s="310" t="s">
        <v>13</v>
      </c>
      <c r="V10" s="358" t="s">
        <v>13</v>
      </c>
      <c r="W10" s="135" t="s">
        <v>72</v>
      </c>
      <c r="X10" s="359" t="s">
        <v>72</v>
      </c>
      <c r="Y10" s="310" t="s">
        <v>126</v>
      </c>
      <c r="Z10" s="355" t="s">
        <v>129</v>
      </c>
      <c r="AA10" s="134" t="s">
        <v>72</v>
      </c>
      <c r="AB10" s="278" t="s">
        <v>72</v>
      </c>
      <c r="AC10" s="310" t="s">
        <v>128</v>
      </c>
      <c r="AD10" s="355" t="s">
        <v>127</v>
      </c>
      <c r="AE10" s="134" t="s">
        <v>72</v>
      </c>
      <c r="AF10" s="278" t="s">
        <v>72</v>
      </c>
      <c r="AG10" s="324" t="s">
        <v>94</v>
      </c>
      <c r="AH10" s="236" t="str">
        <f>AG10</f>
        <v>Измерение сопротивления изоляции</v>
      </c>
      <c r="AI10" s="134" t="s">
        <v>72</v>
      </c>
      <c r="AJ10" s="134" t="s">
        <v>72</v>
      </c>
      <c r="AK10" s="311" t="s">
        <v>93</v>
      </c>
      <c r="AL10" s="360" t="str">
        <f>AK10</f>
        <v>замена и приобретение приборов учета</v>
      </c>
      <c r="AM10" s="134" t="s">
        <v>72</v>
      </c>
      <c r="AN10" s="278" t="s">
        <v>72</v>
      </c>
      <c r="AO10" s="324" t="s">
        <v>121</v>
      </c>
      <c r="AP10" s="360" t="str">
        <f>AO10</f>
        <v>поверка приборов учета АИТП</v>
      </c>
      <c r="AQ10" s="134" t="s">
        <v>72</v>
      </c>
      <c r="AR10" s="278" t="s">
        <v>72</v>
      </c>
      <c r="AS10" s="236" t="s">
        <v>132</v>
      </c>
      <c r="AT10" s="360" t="s">
        <v>132</v>
      </c>
      <c r="AU10" s="134" t="s">
        <v>72</v>
      </c>
      <c r="AV10" s="278" t="s">
        <v>72</v>
      </c>
      <c r="AW10" s="134" t="s">
        <v>131</v>
      </c>
      <c r="AX10" s="278" t="s">
        <v>131</v>
      </c>
      <c r="AY10" s="134" t="s">
        <v>72</v>
      </c>
      <c r="AZ10" s="278" t="s">
        <v>72</v>
      </c>
      <c r="BA10" s="134" t="s">
        <v>116</v>
      </c>
      <c r="BB10" s="278" t="s">
        <v>116</v>
      </c>
      <c r="BC10" s="134" t="s">
        <v>72</v>
      </c>
      <c r="BD10" s="278" t="s">
        <v>72</v>
      </c>
      <c r="BE10" s="134" t="s">
        <v>130</v>
      </c>
      <c r="BF10" s="278" t="s">
        <v>130</v>
      </c>
      <c r="BG10" s="134" t="s">
        <v>115</v>
      </c>
      <c r="BH10" s="278" t="s">
        <v>115</v>
      </c>
      <c r="BI10" s="312" t="s">
        <v>89</v>
      </c>
      <c r="BJ10" s="312" t="s">
        <v>89</v>
      </c>
      <c r="BK10" s="134" t="s">
        <v>72</v>
      </c>
      <c r="BL10" s="134" t="s">
        <v>72</v>
      </c>
      <c r="BM10" s="134" t="s">
        <v>72</v>
      </c>
    </row>
    <row r="11" spans="1:65" ht="45.75">
      <c r="A11" s="401"/>
      <c r="B11" s="401"/>
      <c r="C11" s="401"/>
      <c r="D11" s="401"/>
      <c r="E11" s="172" t="s">
        <v>15</v>
      </c>
      <c r="F11" s="134" t="s">
        <v>15</v>
      </c>
      <c r="G11" s="134" t="s">
        <v>84</v>
      </c>
      <c r="H11" s="134" t="s">
        <v>84</v>
      </c>
      <c r="I11" s="125"/>
      <c r="J11" s="261" t="s">
        <v>15</v>
      </c>
      <c r="K11" s="134" t="s">
        <v>84</v>
      </c>
      <c r="L11" s="134" t="s">
        <v>84</v>
      </c>
      <c r="M11" s="125"/>
      <c r="N11" s="262" t="s">
        <v>15</v>
      </c>
      <c r="O11" s="134" t="s">
        <v>84</v>
      </c>
      <c r="P11" s="134" t="s">
        <v>84</v>
      </c>
      <c r="Q11" s="125"/>
      <c r="R11" s="262" t="s">
        <v>15</v>
      </c>
      <c r="S11" s="134" t="s">
        <v>84</v>
      </c>
      <c r="T11" s="134" t="s">
        <v>84</v>
      </c>
      <c r="U11" s="125"/>
      <c r="V11" s="263" t="s">
        <v>15</v>
      </c>
      <c r="W11" s="134" t="s">
        <v>84</v>
      </c>
      <c r="X11" s="134" t="s">
        <v>84</v>
      </c>
      <c r="Y11" s="125"/>
      <c r="Z11" s="262" t="s">
        <v>15</v>
      </c>
      <c r="AA11" s="134" t="s">
        <v>15</v>
      </c>
      <c r="AB11" s="134" t="s">
        <v>84</v>
      </c>
      <c r="AC11" s="166" t="s">
        <v>15</v>
      </c>
      <c r="AD11" s="268" t="s">
        <v>15</v>
      </c>
      <c r="AE11" s="164" t="s">
        <v>84</v>
      </c>
      <c r="AF11" s="177" t="s">
        <v>84</v>
      </c>
      <c r="AG11" s="168" t="s">
        <v>15</v>
      </c>
      <c r="AH11" s="260" t="s">
        <v>15</v>
      </c>
      <c r="AI11" s="164" t="s">
        <v>84</v>
      </c>
      <c r="AJ11" s="164" t="s">
        <v>84</v>
      </c>
      <c r="AK11" s="168" t="s">
        <v>15</v>
      </c>
      <c r="AL11" s="260" t="s">
        <v>15</v>
      </c>
      <c r="AM11" s="164" t="s">
        <v>84</v>
      </c>
      <c r="AN11" s="164" t="s">
        <v>84</v>
      </c>
      <c r="AO11" s="168" t="s">
        <v>15</v>
      </c>
      <c r="AP11" s="260" t="s">
        <v>15</v>
      </c>
      <c r="AQ11" s="164" t="s">
        <v>84</v>
      </c>
      <c r="AR11" s="164" t="s">
        <v>84</v>
      </c>
      <c r="AS11" s="260" t="s">
        <v>15</v>
      </c>
      <c r="AT11" s="260" t="s">
        <v>15</v>
      </c>
      <c r="AU11" s="164" t="s">
        <v>84</v>
      </c>
      <c r="AV11" s="164" t="s">
        <v>84</v>
      </c>
      <c r="AW11" s="260"/>
      <c r="AX11" s="260"/>
      <c r="AY11" s="164" t="s">
        <v>84</v>
      </c>
      <c r="AZ11" s="164" t="s">
        <v>84</v>
      </c>
      <c r="BA11" s="260" t="s">
        <v>15</v>
      </c>
      <c r="BB11" s="260" t="s">
        <v>15</v>
      </c>
      <c r="BC11" s="164" t="s">
        <v>84</v>
      </c>
      <c r="BD11" s="164" t="s">
        <v>84</v>
      </c>
      <c r="BE11" s="164"/>
      <c r="BF11" s="164"/>
      <c r="BG11" s="164"/>
      <c r="BH11" s="164"/>
      <c r="BI11" s="260" t="s">
        <v>15</v>
      </c>
      <c r="BJ11" s="260" t="s">
        <v>15</v>
      </c>
      <c r="BK11" s="177" t="s">
        <v>84</v>
      </c>
      <c r="BL11" s="164" t="s">
        <v>84</v>
      </c>
      <c r="BM11" s="164" t="s">
        <v>84</v>
      </c>
    </row>
    <row r="12" spans="1:65" ht="21" customHeight="1">
      <c r="A12" s="205">
        <v>1</v>
      </c>
      <c r="B12" s="319" t="s">
        <v>19</v>
      </c>
      <c r="C12" s="365">
        <v>5823.7</v>
      </c>
      <c r="D12" s="313">
        <v>6276.1</v>
      </c>
      <c r="E12" s="121">
        <f>40000/D12/12</f>
        <v>0.5311153954419676</v>
      </c>
      <c r="F12" s="132">
        <f aca="true" t="shared" si="0" ref="F12:F36">ROUND(E12,2)</f>
        <v>0.53</v>
      </c>
      <c r="G12" s="132">
        <f aca="true" t="shared" si="1" ref="G12:G34">F12*D12*12</f>
        <v>39915.99600000001</v>
      </c>
      <c r="H12" s="130">
        <f aca="true" t="shared" si="2" ref="H12:H36">ROUND(G12,0)</f>
        <v>39916</v>
      </c>
      <c r="I12" s="232">
        <f>0/D12/12</f>
        <v>0</v>
      </c>
      <c r="J12" s="132">
        <f aca="true" t="shared" si="3" ref="J12:J27">ROUND(I12,2)</f>
        <v>0</v>
      </c>
      <c r="K12" s="130">
        <f aca="true" t="shared" si="4" ref="K12:K34">J12*D12*12</f>
        <v>0</v>
      </c>
      <c r="L12" s="130">
        <f aca="true" t="shared" si="5" ref="L12:L36">ROUND(K12,0)</f>
        <v>0</v>
      </c>
      <c r="M12" s="232">
        <f>10000/D12/12</f>
        <v>0.1327788488604919</v>
      </c>
      <c r="N12" s="167">
        <f aca="true" t="shared" si="6" ref="N12:N36">ROUND(M12,2)</f>
        <v>0.13</v>
      </c>
      <c r="O12" s="130">
        <f aca="true" t="shared" si="7" ref="O12:O36">N12*D12*12</f>
        <v>9790.716</v>
      </c>
      <c r="P12" s="130">
        <f aca="true" t="shared" si="8" ref="P12:P36">ROUND(O12,0)</f>
        <v>9791</v>
      </c>
      <c r="Q12" s="232">
        <f>0/D12/12</f>
        <v>0</v>
      </c>
      <c r="R12" s="132">
        <f>ROUND(Q12,2)</f>
        <v>0</v>
      </c>
      <c r="S12" s="131">
        <f aca="true" t="shared" si="9" ref="S12:S36">R12*D12*12</f>
        <v>0</v>
      </c>
      <c r="T12" s="131">
        <f aca="true" t="shared" si="10" ref="T12:T36">ROUND(S12,0)</f>
        <v>0</v>
      </c>
      <c r="U12" s="232">
        <f>145000/D12/12</f>
        <v>1.9252933084771326</v>
      </c>
      <c r="V12" s="132">
        <f aca="true" t="shared" si="11" ref="V12:V36">ROUND(U12,2)</f>
        <v>1.93</v>
      </c>
      <c r="W12" s="121">
        <f aca="true" t="shared" si="12" ref="W12:W36">V12*D12*12</f>
        <v>145354.476</v>
      </c>
      <c r="X12" s="132">
        <f aca="true" t="shared" si="13" ref="X12:X36">ROUND(W12,0)</f>
        <v>145354</v>
      </c>
      <c r="Y12" s="232">
        <f>144000/D12/12</f>
        <v>1.9120154235910836</v>
      </c>
      <c r="Z12" s="132">
        <f aca="true" t="shared" si="14" ref="Z12:Z36">ROUND(Y12,2)</f>
        <v>1.91</v>
      </c>
      <c r="AA12" s="132">
        <f aca="true" t="shared" si="15" ref="AA12:AA36">Z12*D12*12</f>
        <v>143848.212</v>
      </c>
      <c r="AB12" s="132">
        <f aca="true" t="shared" si="16" ref="AB12:AB36">ROUND(AA12,0)</f>
        <v>143848</v>
      </c>
      <c r="AC12" s="167">
        <f>135000/D12/12</f>
        <v>1.7925144596166407</v>
      </c>
      <c r="AD12" s="132">
        <f aca="true" t="shared" si="17" ref="AD12:AD36">ROUND(AC12,2)</f>
        <v>1.79</v>
      </c>
      <c r="AE12" s="130">
        <f aca="true" t="shared" si="18" ref="AE12:AE36">AD12*D12*12</f>
        <v>134810.62800000003</v>
      </c>
      <c r="AF12" s="178">
        <f aca="true" t="shared" si="19" ref="AF12:AF36">ROUND(AE12,0)</f>
        <v>134811</v>
      </c>
      <c r="AG12" s="287">
        <f aca="true" t="shared" si="20" ref="AG12:AG34">0/D12/12</f>
        <v>0</v>
      </c>
      <c r="AH12" s="288">
        <f aca="true" t="shared" si="21" ref="AH12:AH36">ROUND(AG12,2)</f>
        <v>0</v>
      </c>
      <c r="AI12" s="289">
        <f aca="true" t="shared" si="22" ref="AI12:AI34">AH12*D12*12</f>
        <v>0</v>
      </c>
      <c r="AJ12" s="289">
        <f aca="true" t="shared" si="23" ref="AJ12:AJ36">ROUND(AI12,0)</f>
        <v>0</v>
      </c>
      <c r="AK12" s="289">
        <f aca="true" t="shared" si="24" ref="AK12:AK34">15000/D12/12</f>
        <v>0.19916827329073786</v>
      </c>
      <c r="AL12" s="288">
        <f aca="true" t="shared" si="25" ref="AL12:AL36">ROUND(AK12,2)</f>
        <v>0.2</v>
      </c>
      <c r="AM12" s="289">
        <f>AL12*D12*12</f>
        <v>15062.640000000003</v>
      </c>
      <c r="AN12" s="289">
        <f aca="true" t="shared" si="26" ref="AN12:AN36">ROUND(AM12,0)</f>
        <v>15063</v>
      </c>
      <c r="AO12" s="218">
        <f aca="true" t="shared" si="27" ref="AO12:AO27">0/D12/12</f>
        <v>0</v>
      </c>
      <c r="AP12" s="167">
        <f aca="true" t="shared" si="28" ref="AP12:AP36">ROUND(AO12,2)</f>
        <v>0</v>
      </c>
      <c r="AQ12" s="218">
        <f>AP12*D12*12</f>
        <v>0</v>
      </c>
      <c r="AR12" s="218">
        <f aca="true" t="shared" si="29" ref="AR12:AR36">ROUND(AQ12,0)</f>
        <v>0</v>
      </c>
      <c r="AS12" s="218">
        <f aca="true" t="shared" si="30" ref="AS12:AS34">0/D12/12</f>
        <v>0</v>
      </c>
      <c r="AT12" s="167">
        <f aca="true" t="shared" si="31" ref="AT12:AT36">ROUND(AS12,2)</f>
        <v>0</v>
      </c>
      <c r="AU12" s="218">
        <f aca="true" t="shared" si="32" ref="AU12:AU36">AS12*D12*12</f>
        <v>0</v>
      </c>
      <c r="AV12" s="218">
        <f aca="true" t="shared" si="33" ref="AV12:AV36">ROUND(AU12,0)</f>
        <v>0</v>
      </c>
      <c r="AW12" s="234">
        <f>12000/D12/12</f>
        <v>0.1593346186325903</v>
      </c>
      <c r="AX12" s="167">
        <f aca="true" t="shared" si="34" ref="AX12:AX36">AW12+ROUND(0,0)</f>
        <v>0.1593346186325903</v>
      </c>
      <c r="AY12" s="218">
        <f>AX12*D12*12</f>
        <v>12000</v>
      </c>
      <c r="AZ12" s="218">
        <f aca="true" t="shared" si="35" ref="AZ12:AZ36">ROUND(AY12,0)</f>
        <v>12000</v>
      </c>
      <c r="BA12" s="218">
        <f aca="true" t="shared" si="36" ref="BA12:BA36">0/D12/12</f>
        <v>0</v>
      </c>
      <c r="BB12" s="218">
        <f aca="true" t="shared" si="37" ref="BB12:BB36">ROUND(BA12,2)</f>
        <v>0</v>
      </c>
      <c r="BC12" s="218">
        <f aca="true" t="shared" si="38" ref="BC12:BC36">BB12*D12*12</f>
        <v>0</v>
      </c>
      <c r="BD12" s="218">
        <f aca="true" t="shared" si="39" ref="BD12:BD36">ROUND(BC12,0)</f>
        <v>0</v>
      </c>
      <c r="BE12" s="218">
        <f aca="true" t="shared" si="40" ref="BE12:BE33">0/D12/12</f>
        <v>0</v>
      </c>
      <c r="BF12" s="218">
        <f aca="true" t="shared" si="41" ref="BF12:BF36">ROUND(BE12,2)</f>
        <v>0</v>
      </c>
      <c r="BG12" s="218">
        <f aca="true" t="shared" si="42" ref="BG12:BG27">BE12*D12*12</f>
        <v>0</v>
      </c>
      <c r="BH12" s="218">
        <f aca="true" t="shared" si="43" ref="BH12:BH36">ROUND(BG12,2)</f>
        <v>0</v>
      </c>
      <c r="BI12" s="218">
        <v>6.64</v>
      </c>
      <c r="BJ12" s="200">
        <f aca="true" t="shared" si="44" ref="BJ12:BJ36">BF12+BB12+AX12+AT12+AP12+AL12+AD12+Z12+V12+R12+N12+J12+F12</f>
        <v>6.64933461863259</v>
      </c>
      <c r="BK12" s="212">
        <f>G12+K12+O12+S12+W12+AA12+AE12+AM12+AQ12+AU12+AY12+BC12+BG12</f>
        <v>500782.66800000006</v>
      </c>
      <c r="BL12" s="212">
        <f>BI12*C12*12</f>
        <v>464032.41599999997</v>
      </c>
      <c r="BM12" s="322">
        <f aca="true" t="shared" si="45" ref="BM12:BM36">ROUND(BK12,0)</f>
        <v>500783</v>
      </c>
    </row>
    <row r="13" spans="1:65" ht="21" customHeight="1">
      <c r="A13" s="205">
        <f>A12+1</f>
        <v>2</v>
      </c>
      <c r="B13" s="319" t="s">
        <v>21</v>
      </c>
      <c r="C13" s="365">
        <v>3663.7</v>
      </c>
      <c r="D13" s="313">
        <v>3796</v>
      </c>
      <c r="E13" s="121">
        <f>45000/D13/12</f>
        <v>0.987881981032666</v>
      </c>
      <c r="F13" s="132">
        <f t="shared" si="0"/>
        <v>0.99</v>
      </c>
      <c r="G13" s="132">
        <f t="shared" si="1"/>
        <v>45096.479999999996</v>
      </c>
      <c r="H13" s="130">
        <f t="shared" si="2"/>
        <v>45096</v>
      </c>
      <c r="I13" s="232">
        <f>0/D13/12</f>
        <v>0</v>
      </c>
      <c r="J13" s="132">
        <f t="shared" si="3"/>
        <v>0</v>
      </c>
      <c r="K13" s="130">
        <f t="shared" si="4"/>
        <v>0</v>
      </c>
      <c r="L13" s="130">
        <f t="shared" si="5"/>
        <v>0</v>
      </c>
      <c r="M13" s="232">
        <f>0/D13/12</f>
        <v>0</v>
      </c>
      <c r="N13" s="167">
        <f t="shared" si="6"/>
        <v>0</v>
      </c>
      <c r="O13" s="130">
        <f t="shared" si="7"/>
        <v>0</v>
      </c>
      <c r="P13" s="130">
        <f t="shared" si="8"/>
        <v>0</v>
      </c>
      <c r="Q13" s="232">
        <f>25000/D13/12</f>
        <v>0.5488233227959255</v>
      </c>
      <c r="R13" s="132">
        <f aca="true" t="shared" si="46" ref="R13:R36">ROUND(Q13,2)</f>
        <v>0.55</v>
      </c>
      <c r="S13" s="131">
        <f t="shared" si="9"/>
        <v>25053.600000000002</v>
      </c>
      <c r="T13" s="131">
        <f t="shared" si="10"/>
        <v>25054</v>
      </c>
      <c r="U13" s="232">
        <f>0/D13/12</f>
        <v>0</v>
      </c>
      <c r="V13" s="132">
        <f t="shared" si="11"/>
        <v>0</v>
      </c>
      <c r="W13" s="121">
        <f t="shared" si="12"/>
        <v>0</v>
      </c>
      <c r="X13" s="132">
        <f t="shared" si="13"/>
        <v>0</v>
      </c>
      <c r="Y13" s="232">
        <f>0/D13/12</f>
        <v>0</v>
      </c>
      <c r="Z13" s="132">
        <f t="shared" si="14"/>
        <v>0</v>
      </c>
      <c r="AA13" s="132">
        <f t="shared" si="15"/>
        <v>0</v>
      </c>
      <c r="AB13" s="132">
        <f t="shared" si="16"/>
        <v>0</v>
      </c>
      <c r="AC13" s="167">
        <f>25000/D13/12</f>
        <v>0.5488233227959255</v>
      </c>
      <c r="AD13" s="132">
        <f t="shared" si="17"/>
        <v>0.55</v>
      </c>
      <c r="AE13" s="130">
        <f t="shared" si="18"/>
        <v>25053.600000000002</v>
      </c>
      <c r="AF13" s="178">
        <f t="shared" si="19"/>
        <v>25054</v>
      </c>
      <c r="AG13" s="287">
        <f t="shared" si="20"/>
        <v>0</v>
      </c>
      <c r="AH13" s="288">
        <f t="shared" si="21"/>
        <v>0</v>
      </c>
      <c r="AI13" s="289">
        <f t="shared" si="22"/>
        <v>0</v>
      </c>
      <c r="AJ13" s="289">
        <f t="shared" si="23"/>
        <v>0</v>
      </c>
      <c r="AK13" s="289">
        <f t="shared" si="24"/>
        <v>0.32929399367755535</v>
      </c>
      <c r="AL13" s="288">
        <f t="shared" si="25"/>
        <v>0.33</v>
      </c>
      <c r="AM13" s="289">
        <f aca="true" t="shared" si="47" ref="AM13:AM36">AL13*D13*12</f>
        <v>15032.16</v>
      </c>
      <c r="AN13" s="289">
        <f t="shared" si="26"/>
        <v>15032</v>
      </c>
      <c r="AO13" s="218">
        <f t="shared" si="27"/>
        <v>0</v>
      </c>
      <c r="AP13" s="167">
        <f t="shared" si="28"/>
        <v>0</v>
      </c>
      <c r="AQ13" s="218">
        <f aca="true" t="shared" si="48" ref="AQ13:AQ36">AP13*D13*12</f>
        <v>0</v>
      </c>
      <c r="AR13" s="218">
        <f t="shared" si="29"/>
        <v>0</v>
      </c>
      <c r="AS13" s="218">
        <f t="shared" si="30"/>
        <v>0</v>
      </c>
      <c r="AT13" s="167">
        <f t="shared" si="31"/>
        <v>0</v>
      </c>
      <c r="AU13" s="218">
        <f t="shared" si="32"/>
        <v>0</v>
      </c>
      <c r="AV13" s="218">
        <f t="shared" si="33"/>
        <v>0</v>
      </c>
      <c r="AW13" s="234">
        <f>25000/D13/12</f>
        <v>0.5488233227959255</v>
      </c>
      <c r="AX13" s="167">
        <f t="shared" si="34"/>
        <v>0.5488233227959255</v>
      </c>
      <c r="AY13" s="218">
        <f aca="true" t="shared" si="49" ref="AY13:AY36">AX13*D13*12</f>
        <v>24999.999999999996</v>
      </c>
      <c r="AZ13" s="218">
        <f t="shared" si="35"/>
        <v>25000</v>
      </c>
      <c r="BA13" s="218">
        <f t="shared" si="36"/>
        <v>0</v>
      </c>
      <c r="BB13" s="218">
        <f t="shared" si="37"/>
        <v>0</v>
      </c>
      <c r="BC13" s="218">
        <f t="shared" si="38"/>
        <v>0</v>
      </c>
      <c r="BD13" s="218">
        <f t="shared" si="39"/>
        <v>0</v>
      </c>
      <c r="BE13" s="218">
        <f t="shared" si="40"/>
        <v>0</v>
      </c>
      <c r="BF13" s="218">
        <f t="shared" si="41"/>
        <v>0</v>
      </c>
      <c r="BG13" s="218">
        <f t="shared" si="42"/>
        <v>0</v>
      </c>
      <c r="BH13" s="218">
        <f t="shared" si="43"/>
        <v>0</v>
      </c>
      <c r="BI13" s="218">
        <v>2.96</v>
      </c>
      <c r="BJ13" s="200">
        <f t="shared" si="44"/>
        <v>2.9688233227959255</v>
      </c>
      <c r="BK13" s="212">
        <f aca="true" t="shared" si="50" ref="BK13:BK36">G13+K13+O13+S13+W13+AA13+AE13+AM13+AQ13+AU13+AY13+BC13+BG13</f>
        <v>135235.84</v>
      </c>
      <c r="BL13" s="212">
        <f aca="true" t="shared" si="51" ref="BL13:BL36">BI13*C13*12</f>
        <v>130134.624</v>
      </c>
      <c r="BM13" s="322">
        <f t="shared" si="45"/>
        <v>135236</v>
      </c>
    </row>
    <row r="14" spans="1:65" ht="21" customHeight="1">
      <c r="A14" s="205">
        <f aca="true" t="shared" si="52" ref="A14:A34">A13+1</f>
        <v>3</v>
      </c>
      <c r="B14" s="319" t="s">
        <v>22</v>
      </c>
      <c r="C14" s="365">
        <v>1470.1</v>
      </c>
      <c r="D14" s="313">
        <v>1470.1</v>
      </c>
      <c r="E14" s="121">
        <f>15000/D14/12</f>
        <v>0.8502822937215155</v>
      </c>
      <c r="F14" s="132">
        <f t="shared" si="0"/>
        <v>0.85</v>
      </c>
      <c r="G14" s="132">
        <f t="shared" si="1"/>
        <v>14995.019999999997</v>
      </c>
      <c r="H14" s="130">
        <f t="shared" si="2"/>
        <v>14995</v>
      </c>
      <c r="I14" s="232">
        <f>30000/D14/12</f>
        <v>1.700564587443031</v>
      </c>
      <c r="J14" s="132">
        <f t="shared" si="3"/>
        <v>1.7</v>
      </c>
      <c r="K14" s="130">
        <f t="shared" si="4"/>
        <v>29990.039999999994</v>
      </c>
      <c r="L14" s="130">
        <f t="shared" si="5"/>
        <v>29990</v>
      </c>
      <c r="M14" s="232">
        <f>O159/D14/12</f>
        <v>0</v>
      </c>
      <c r="N14" s="167">
        <f t="shared" si="6"/>
        <v>0</v>
      </c>
      <c r="O14" s="130">
        <f t="shared" si="7"/>
        <v>0</v>
      </c>
      <c r="P14" s="130">
        <f t="shared" si="8"/>
        <v>0</v>
      </c>
      <c r="Q14" s="232">
        <f>0/D14/12</f>
        <v>0</v>
      </c>
      <c r="R14" s="132">
        <f t="shared" si="46"/>
        <v>0</v>
      </c>
      <c r="S14" s="131">
        <f t="shared" si="9"/>
        <v>0</v>
      </c>
      <c r="T14" s="131">
        <f t="shared" si="10"/>
        <v>0</v>
      </c>
      <c r="U14" s="232">
        <f>0/D14/12</f>
        <v>0</v>
      </c>
      <c r="V14" s="132">
        <f t="shared" si="11"/>
        <v>0</v>
      </c>
      <c r="W14" s="121">
        <f t="shared" si="12"/>
        <v>0</v>
      </c>
      <c r="X14" s="132">
        <f t="shared" si="13"/>
        <v>0</v>
      </c>
      <c r="Y14" s="232">
        <f>64000/D14/12</f>
        <v>3.6278711198784666</v>
      </c>
      <c r="Z14" s="132">
        <f t="shared" si="14"/>
        <v>3.63</v>
      </c>
      <c r="AA14" s="132">
        <f t="shared" si="15"/>
        <v>64037.556</v>
      </c>
      <c r="AB14" s="132">
        <f t="shared" si="16"/>
        <v>64038</v>
      </c>
      <c r="AC14" s="167">
        <f>0/D14/12</f>
        <v>0</v>
      </c>
      <c r="AD14" s="132">
        <f t="shared" si="17"/>
        <v>0</v>
      </c>
      <c r="AE14" s="130">
        <f t="shared" si="18"/>
        <v>0</v>
      </c>
      <c r="AF14" s="178">
        <f t="shared" si="19"/>
        <v>0</v>
      </c>
      <c r="AG14" s="287">
        <f t="shared" si="20"/>
        <v>0</v>
      </c>
      <c r="AH14" s="288">
        <f t="shared" si="21"/>
        <v>0</v>
      </c>
      <c r="AI14" s="289">
        <f t="shared" si="22"/>
        <v>0</v>
      </c>
      <c r="AJ14" s="289">
        <f t="shared" si="23"/>
        <v>0</v>
      </c>
      <c r="AK14" s="289">
        <f>10000/D14/12</f>
        <v>0.5668548624810105</v>
      </c>
      <c r="AL14" s="288">
        <f t="shared" si="25"/>
        <v>0.57</v>
      </c>
      <c r="AM14" s="289">
        <f t="shared" si="47"/>
        <v>10055.483999999999</v>
      </c>
      <c r="AN14" s="289">
        <f t="shared" si="26"/>
        <v>10055</v>
      </c>
      <c r="AO14" s="218">
        <f t="shared" si="27"/>
        <v>0</v>
      </c>
      <c r="AP14" s="167">
        <f t="shared" si="28"/>
        <v>0</v>
      </c>
      <c r="AQ14" s="218">
        <f t="shared" si="48"/>
        <v>0</v>
      </c>
      <c r="AR14" s="218">
        <f t="shared" si="29"/>
        <v>0</v>
      </c>
      <c r="AS14" s="218">
        <f>6000/D14/12</f>
        <v>0.3401129174886062</v>
      </c>
      <c r="AT14" s="167">
        <f t="shared" si="31"/>
        <v>0.34</v>
      </c>
      <c r="AU14" s="218">
        <f t="shared" si="32"/>
        <v>6000</v>
      </c>
      <c r="AV14" s="218">
        <f t="shared" si="33"/>
        <v>6000</v>
      </c>
      <c r="AW14" s="234">
        <f>0/D14/12</f>
        <v>0</v>
      </c>
      <c r="AX14" s="167">
        <f t="shared" si="34"/>
        <v>0</v>
      </c>
      <c r="AY14" s="218">
        <f t="shared" si="49"/>
        <v>0</v>
      </c>
      <c r="AZ14" s="218">
        <f t="shared" si="35"/>
        <v>0</v>
      </c>
      <c r="BA14" s="218">
        <f t="shared" si="36"/>
        <v>0</v>
      </c>
      <c r="BB14" s="218">
        <f t="shared" si="37"/>
        <v>0</v>
      </c>
      <c r="BC14" s="218">
        <f t="shared" si="38"/>
        <v>0</v>
      </c>
      <c r="BD14" s="218">
        <f t="shared" si="39"/>
        <v>0</v>
      </c>
      <c r="BE14" s="218">
        <f t="shared" si="40"/>
        <v>0</v>
      </c>
      <c r="BF14" s="218">
        <f t="shared" si="41"/>
        <v>0</v>
      </c>
      <c r="BG14" s="218">
        <f t="shared" si="42"/>
        <v>0</v>
      </c>
      <c r="BH14" s="218">
        <f t="shared" si="43"/>
        <v>0</v>
      </c>
      <c r="BI14" s="218">
        <v>7.09</v>
      </c>
      <c r="BJ14" s="200">
        <f t="shared" si="44"/>
        <v>7.09</v>
      </c>
      <c r="BK14" s="212">
        <f t="shared" si="50"/>
        <v>125078.09999999998</v>
      </c>
      <c r="BL14" s="212">
        <f t="shared" si="51"/>
        <v>125076.10800000001</v>
      </c>
      <c r="BM14" s="322">
        <f t="shared" si="45"/>
        <v>125078</v>
      </c>
    </row>
    <row r="15" spans="1:65" ht="21" customHeight="1">
      <c r="A15" s="205">
        <f t="shared" si="52"/>
        <v>4</v>
      </c>
      <c r="B15" s="319" t="s">
        <v>23</v>
      </c>
      <c r="C15" s="365">
        <v>3661.6</v>
      </c>
      <c r="D15" s="313">
        <v>3796.6</v>
      </c>
      <c r="E15" s="121">
        <f>45000/D15/12</f>
        <v>0.9877258599799821</v>
      </c>
      <c r="F15" s="132">
        <f t="shared" si="0"/>
        <v>0.99</v>
      </c>
      <c r="G15" s="132">
        <f t="shared" si="1"/>
        <v>45103.608</v>
      </c>
      <c r="H15" s="130">
        <f t="shared" si="2"/>
        <v>45104</v>
      </c>
      <c r="I15" s="232">
        <f>40000/D15/12</f>
        <v>0.8779785422044286</v>
      </c>
      <c r="J15" s="132">
        <f t="shared" si="3"/>
        <v>0.88</v>
      </c>
      <c r="K15" s="130">
        <f t="shared" si="4"/>
        <v>40092.096</v>
      </c>
      <c r="L15" s="130">
        <f t="shared" si="5"/>
        <v>40092</v>
      </c>
      <c r="M15" s="232">
        <f>11000/D15/12</f>
        <v>0.24144409910621786</v>
      </c>
      <c r="N15" s="167">
        <f t="shared" si="6"/>
        <v>0.24</v>
      </c>
      <c r="O15" s="130">
        <f t="shared" si="7"/>
        <v>10934.207999999999</v>
      </c>
      <c r="P15" s="136">
        <f t="shared" si="8"/>
        <v>10934</v>
      </c>
      <c r="Q15" s="232">
        <f aca="true" t="shared" si="53" ref="Q15:Q36">0/D15/12</f>
        <v>0</v>
      </c>
      <c r="R15" s="132">
        <f t="shared" si="46"/>
        <v>0</v>
      </c>
      <c r="S15" s="131">
        <f t="shared" si="9"/>
        <v>0</v>
      </c>
      <c r="T15" s="131">
        <f t="shared" si="10"/>
        <v>0</v>
      </c>
      <c r="U15" s="232">
        <f>82000/D15/12</f>
        <v>1.7998560115190785</v>
      </c>
      <c r="V15" s="132">
        <f t="shared" si="11"/>
        <v>1.8</v>
      </c>
      <c r="W15" s="121">
        <f t="shared" si="12"/>
        <v>82006.56</v>
      </c>
      <c r="X15" s="132">
        <f t="shared" si="13"/>
        <v>82007</v>
      </c>
      <c r="Y15" s="232">
        <f>75000/D15/12</f>
        <v>1.6462097666333035</v>
      </c>
      <c r="Z15" s="132">
        <f t="shared" si="14"/>
        <v>1.65</v>
      </c>
      <c r="AA15" s="132">
        <f t="shared" si="15"/>
        <v>75172.68</v>
      </c>
      <c r="AB15" s="132">
        <f t="shared" si="16"/>
        <v>75173</v>
      </c>
      <c r="AC15" s="167">
        <f>25000/D15/12</f>
        <v>0.5487365888777679</v>
      </c>
      <c r="AD15" s="132">
        <f t="shared" si="17"/>
        <v>0.55</v>
      </c>
      <c r="AE15" s="130">
        <f t="shared" si="18"/>
        <v>25057.56</v>
      </c>
      <c r="AF15" s="178">
        <f t="shared" si="19"/>
        <v>25058</v>
      </c>
      <c r="AG15" s="287">
        <f t="shared" si="20"/>
        <v>0</v>
      </c>
      <c r="AH15" s="288">
        <f t="shared" si="21"/>
        <v>0</v>
      </c>
      <c r="AI15" s="289">
        <f t="shared" si="22"/>
        <v>0</v>
      </c>
      <c r="AJ15" s="289">
        <f t="shared" si="23"/>
        <v>0</v>
      </c>
      <c r="AK15" s="289">
        <f t="shared" si="24"/>
        <v>0.3292419533266607</v>
      </c>
      <c r="AL15" s="288">
        <f t="shared" si="25"/>
        <v>0.33</v>
      </c>
      <c r="AM15" s="289">
        <f t="shared" si="47"/>
        <v>15034.536</v>
      </c>
      <c r="AN15" s="289">
        <f t="shared" si="26"/>
        <v>15035</v>
      </c>
      <c r="AO15" s="218">
        <f t="shared" si="27"/>
        <v>0</v>
      </c>
      <c r="AP15" s="167">
        <f t="shared" si="28"/>
        <v>0</v>
      </c>
      <c r="AQ15" s="218">
        <f t="shared" si="48"/>
        <v>0</v>
      </c>
      <c r="AR15" s="218">
        <f t="shared" si="29"/>
        <v>0</v>
      </c>
      <c r="AS15" s="218">
        <f>6000/D15/12</f>
        <v>0.1316967813306643</v>
      </c>
      <c r="AT15" s="167">
        <f t="shared" si="31"/>
        <v>0.13</v>
      </c>
      <c r="AU15" s="218">
        <f t="shared" si="32"/>
        <v>6000</v>
      </c>
      <c r="AV15" s="218">
        <f t="shared" si="33"/>
        <v>6000</v>
      </c>
      <c r="AW15" s="234">
        <f>10000/D15/12</f>
        <v>0.21949463555110715</v>
      </c>
      <c r="AX15" s="167">
        <f t="shared" si="34"/>
        <v>0.21949463555110715</v>
      </c>
      <c r="AY15" s="218">
        <f t="shared" si="49"/>
        <v>10000</v>
      </c>
      <c r="AZ15" s="218">
        <f t="shared" si="35"/>
        <v>10000</v>
      </c>
      <c r="BA15" s="218">
        <f t="shared" si="36"/>
        <v>0</v>
      </c>
      <c r="BB15" s="218">
        <f t="shared" si="37"/>
        <v>0</v>
      </c>
      <c r="BC15" s="218">
        <f t="shared" si="38"/>
        <v>0</v>
      </c>
      <c r="BD15" s="218">
        <f t="shared" si="39"/>
        <v>0</v>
      </c>
      <c r="BE15" s="218">
        <f t="shared" si="40"/>
        <v>0</v>
      </c>
      <c r="BF15" s="218">
        <f t="shared" si="41"/>
        <v>0</v>
      </c>
      <c r="BG15" s="218">
        <f t="shared" si="42"/>
        <v>0</v>
      </c>
      <c r="BH15" s="218">
        <f t="shared" si="43"/>
        <v>0</v>
      </c>
      <c r="BI15" s="218">
        <v>6.78</v>
      </c>
      <c r="BJ15" s="200">
        <f t="shared" si="44"/>
        <v>6.789494635551107</v>
      </c>
      <c r="BK15" s="212">
        <f t="shared" si="50"/>
        <v>309401.248</v>
      </c>
      <c r="BL15" s="212">
        <f t="shared" si="51"/>
        <v>297907.776</v>
      </c>
      <c r="BM15" s="322">
        <f t="shared" si="45"/>
        <v>309401</v>
      </c>
    </row>
    <row r="16" spans="1:65" ht="21" customHeight="1">
      <c r="A16" s="205">
        <f t="shared" si="52"/>
        <v>5</v>
      </c>
      <c r="B16" s="319" t="s">
        <v>24</v>
      </c>
      <c r="C16" s="365">
        <v>3670.6</v>
      </c>
      <c r="D16" s="313">
        <v>3805.6</v>
      </c>
      <c r="E16" s="121">
        <f>25000/D16/12</f>
        <v>0.5474388620278887</v>
      </c>
      <c r="F16" s="132">
        <f t="shared" si="0"/>
        <v>0.55</v>
      </c>
      <c r="G16" s="132">
        <f t="shared" si="1"/>
        <v>25116.96</v>
      </c>
      <c r="H16" s="130">
        <f t="shared" si="2"/>
        <v>25117</v>
      </c>
      <c r="I16" s="232">
        <f>25000/D16/12</f>
        <v>0.5474388620278887</v>
      </c>
      <c r="J16" s="132">
        <f t="shared" si="3"/>
        <v>0.55</v>
      </c>
      <c r="K16" s="130">
        <f t="shared" si="4"/>
        <v>25116.96</v>
      </c>
      <c r="L16" s="130">
        <f t="shared" si="5"/>
        <v>25117</v>
      </c>
      <c r="M16" s="232">
        <f>11000/D16/12</f>
        <v>0.24087309929227105</v>
      </c>
      <c r="N16" s="167">
        <f t="shared" si="6"/>
        <v>0.24</v>
      </c>
      <c r="O16" s="130">
        <f t="shared" si="7"/>
        <v>10960.127999999999</v>
      </c>
      <c r="P16" s="130">
        <f t="shared" si="8"/>
        <v>10960</v>
      </c>
      <c r="Q16" s="232">
        <f>21000/D16/12</f>
        <v>0.4598486441034266</v>
      </c>
      <c r="R16" s="132">
        <f t="shared" si="46"/>
        <v>0.46</v>
      </c>
      <c r="S16" s="131">
        <f t="shared" si="9"/>
        <v>21006.912</v>
      </c>
      <c r="T16" s="131">
        <f t="shared" si="10"/>
        <v>21007</v>
      </c>
      <c r="U16" s="232">
        <f>85000/D16/12</f>
        <v>1.8612921308948218</v>
      </c>
      <c r="V16" s="132">
        <f t="shared" si="11"/>
        <v>1.86</v>
      </c>
      <c r="W16" s="121">
        <f t="shared" si="12"/>
        <v>84940.992</v>
      </c>
      <c r="X16" s="132">
        <f t="shared" si="13"/>
        <v>84941</v>
      </c>
      <c r="Y16" s="232">
        <f>70000/D16/12</f>
        <v>1.5328288136780885</v>
      </c>
      <c r="Z16" s="132">
        <f t="shared" si="14"/>
        <v>1.53</v>
      </c>
      <c r="AA16" s="132">
        <f t="shared" si="15"/>
        <v>69870.816</v>
      </c>
      <c r="AB16" s="132">
        <f t="shared" si="16"/>
        <v>69871</v>
      </c>
      <c r="AC16" s="167">
        <f>0/D16/12</f>
        <v>0</v>
      </c>
      <c r="AD16" s="132">
        <f t="shared" si="17"/>
        <v>0</v>
      </c>
      <c r="AE16" s="130">
        <f t="shared" si="18"/>
        <v>0</v>
      </c>
      <c r="AF16" s="178">
        <f t="shared" si="19"/>
        <v>0</v>
      </c>
      <c r="AG16" s="287">
        <f t="shared" si="20"/>
        <v>0</v>
      </c>
      <c r="AH16" s="288">
        <f t="shared" si="21"/>
        <v>0</v>
      </c>
      <c r="AI16" s="289">
        <f t="shared" si="22"/>
        <v>0</v>
      </c>
      <c r="AJ16" s="289">
        <f t="shared" si="23"/>
        <v>0</v>
      </c>
      <c r="AK16" s="289">
        <f t="shared" si="24"/>
        <v>0.3284633172167332</v>
      </c>
      <c r="AL16" s="288">
        <f t="shared" si="25"/>
        <v>0.33</v>
      </c>
      <c r="AM16" s="289">
        <f t="shared" si="47"/>
        <v>15070.176</v>
      </c>
      <c r="AN16" s="289">
        <f t="shared" si="26"/>
        <v>15070</v>
      </c>
      <c r="AO16" s="218">
        <f t="shared" si="27"/>
        <v>0</v>
      </c>
      <c r="AP16" s="167">
        <f t="shared" si="28"/>
        <v>0</v>
      </c>
      <c r="AQ16" s="218">
        <f t="shared" si="48"/>
        <v>0</v>
      </c>
      <c r="AR16" s="218">
        <f t="shared" si="29"/>
        <v>0</v>
      </c>
      <c r="AS16" s="218">
        <f>6000/D16/12</f>
        <v>0.1313853268866933</v>
      </c>
      <c r="AT16" s="167">
        <f t="shared" si="31"/>
        <v>0.13</v>
      </c>
      <c r="AU16" s="218">
        <f t="shared" si="32"/>
        <v>6000</v>
      </c>
      <c r="AV16" s="218">
        <f t="shared" si="33"/>
        <v>6000</v>
      </c>
      <c r="AW16" s="234">
        <f>25000/D16/12</f>
        <v>0.5474388620278887</v>
      </c>
      <c r="AX16" s="167">
        <f t="shared" si="34"/>
        <v>0.5474388620278887</v>
      </c>
      <c r="AY16" s="218">
        <f t="shared" si="49"/>
        <v>24999.999999999996</v>
      </c>
      <c r="AZ16" s="218">
        <f t="shared" si="35"/>
        <v>25000</v>
      </c>
      <c r="BA16" s="218">
        <f t="shared" si="36"/>
        <v>0</v>
      </c>
      <c r="BB16" s="218">
        <f t="shared" si="37"/>
        <v>0</v>
      </c>
      <c r="BC16" s="218">
        <f t="shared" si="38"/>
        <v>0</v>
      </c>
      <c r="BD16" s="218">
        <f t="shared" si="39"/>
        <v>0</v>
      </c>
      <c r="BE16" s="218">
        <f t="shared" si="40"/>
        <v>0</v>
      </c>
      <c r="BF16" s="218">
        <f t="shared" si="41"/>
        <v>0</v>
      </c>
      <c r="BG16" s="218">
        <f t="shared" si="42"/>
        <v>0</v>
      </c>
      <c r="BH16" s="218">
        <f t="shared" si="43"/>
        <v>0</v>
      </c>
      <c r="BI16" s="218">
        <v>6.21</v>
      </c>
      <c r="BJ16" s="200">
        <f t="shared" si="44"/>
        <v>6.197438862027889</v>
      </c>
      <c r="BK16" s="212">
        <f t="shared" si="50"/>
        <v>283082.94399999996</v>
      </c>
      <c r="BL16" s="212">
        <f t="shared" si="51"/>
        <v>273533.11199999996</v>
      </c>
      <c r="BM16" s="322">
        <f t="shared" si="45"/>
        <v>283083</v>
      </c>
    </row>
    <row r="17" spans="1:65" ht="21" customHeight="1">
      <c r="A17" s="205">
        <f t="shared" si="52"/>
        <v>6</v>
      </c>
      <c r="B17" s="319" t="s">
        <v>25</v>
      </c>
      <c r="C17" s="365">
        <v>1469.5</v>
      </c>
      <c r="D17" s="313">
        <v>1469.5</v>
      </c>
      <c r="E17" s="121">
        <f>20000/D17/12</f>
        <v>1.1341726210729273</v>
      </c>
      <c r="F17" s="132">
        <f t="shared" si="0"/>
        <v>1.13</v>
      </c>
      <c r="G17" s="132">
        <f t="shared" si="1"/>
        <v>19926.42</v>
      </c>
      <c r="H17" s="130">
        <f t="shared" si="2"/>
        <v>19926</v>
      </c>
      <c r="I17" s="232">
        <f>0/D17/12</f>
        <v>0</v>
      </c>
      <c r="J17" s="132">
        <f t="shared" si="3"/>
        <v>0</v>
      </c>
      <c r="K17" s="130">
        <f t="shared" si="4"/>
        <v>0</v>
      </c>
      <c r="L17" s="130">
        <f t="shared" si="5"/>
        <v>0</v>
      </c>
      <c r="M17" s="232">
        <f>0/D17/12</f>
        <v>0</v>
      </c>
      <c r="N17" s="167">
        <f t="shared" si="6"/>
        <v>0</v>
      </c>
      <c r="O17" s="130">
        <f t="shared" si="7"/>
        <v>0</v>
      </c>
      <c r="P17" s="130">
        <f t="shared" si="8"/>
        <v>0</v>
      </c>
      <c r="Q17" s="232">
        <f t="shared" si="53"/>
        <v>0</v>
      </c>
      <c r="R17" s="132">
        <f t="shared" si="46"/>
        <v>0</v>
      </c>
      <c r="S17" s="131">
        <f t="shared" si="9"/>
        <v>0</v>
      </c>
      <c r="T17" s="131">
        <f t="shared" si="10"/>
        <v>0</v>
      </c>
      <c r="U17" s="232">
        <f>0/D17/12</f>
        <v>0</v>
      </c>
      <c r="V17" s="132">
        <f t="shared" si="11"/>
        <v>0</v>
      </c>
      <c r="W17" s="121">
        <f t="shared" si="12"/>
        <v>0</v>
      </c>
      <c r="X17" s="132">
        <f t="shared" si="13"/>
        <v>0</v>
      </c>
      <c r="Y17" s="232">
        <f>0/D17/12</f>
        <v>0</v>
      </c>
      <c r="Z17" s="132">
        <f t="shared" si="14"/>
        <v>0</v>
      </c>
      <c r="AA17" s="132">
        <f t="shared" si="15"/>
        <v>0</v>
      </c>
      <c r="AB17" s="132">
        <f t="shared" si="16"/>
        <v>0</v>
      </c>
      <c r="AC17" s="167">
        <f>0/D17/12</f>
        <v>0</v>
      </c>
      <c r="AD17" s="132">
        <f t="shared" si="17"/>
        <v>0</v>
      </c>
      <c r="AE17" s="130">
        <f t="shared" si="18"/>
        <v>0</v>
      </c>
      <c r="AF17" s="178">
        <f t="shared" si="19"/>
        <v>0</v>
      </c>
      <c r="AG17" s="287">
        <f t="shared" si="20"/>
        <v>0</v>
      </c>
      <c r="AH17" s="288">
        <f t="shared" si="21"/>
        <v>0</v>
      </c>
      <c r="AI17" s="289">
        <f t="shared" si="22"/>
        <v>0</v>
      </c>
      <c r="AJ17" s="289">
        <f t="shared" si="23"/>
        <v>0</v>
      </c>
      <c r="AK17" s="289">
        <f t="shared" si="24"/>
        <v>0.8506294658046955</v>
      </c>
      <c r="AL17" s="288">
        <f t="shared" si="25"/>
        <v>0.85</v>
      </c>
      <c r="AM17" s="289">
        <f t="shared" si="47"/>
        <v>14988.900000000001</v>
      </c>
      <c r="AN17" s="289">
        <f t="shared" si="26"/>
        <v>14989</v>
      </c>
      <c r="AO17" s="218">
        <f t="shared" si="27"/>
        <v>0</v>
      </c>
      <c r="AP17" s="167">
        <f t="shared" si="28"/>
        <v>0</v>
      </c>
      <c r="AQ17" s="218">
        <f t="shared" si="48"/>
        <v>0</v>
      </c>
      <c r="AR17" s="218">
        <f t="shared" si="29"/>
        <v>0</v>
      </c>
      <c r="AS17" s="218">
        <f t="shared" si="30"/>
        <v>0</v>
      </c>
      <c r="AT17" s="167">
        <f t="shared" si="31"/>
        <v>0</v>
      </c>
      <c r="AU17" s="218">
        <f t="shared" si="32"/>
        <v>0</v>
      </c>
      <c r="AV17" s="218">
        <f t="shared" si="33"/>
        <v>0</v>
      </c>
      <c r="AW17" s="234">
        <f>0/D17/12</f>
        <v>0</v>
      </c>
      <c r="AX17" s="167">
        <f t="shared" si="34"/>
        <v>0</v>
      </c>
      <c r="AY17" s="218">
        <f t="shared" si="49"/>
        <v>0</v>
      </c>
      <c r="AZ17" s="218">
        <f t="shared" si="35"/>
        <v>0</v>
      </c>
      <c r="BA17" s="218">
        <f>90000/D17/12</f>
        <v>5.103776794828173</v>
      </c>
      <c r="BB17" s="218">
        <f t="shared" si="37"/>
        <v>5.1</v>
      </c>
      <c r="BC17" s="218">
        <f t="shared" si="38"/>
        <v>89933.4</v>
      </c>
      <c r="BD17" s="218">
        <f t="shared" si="39"/>
        <v>89933</v>
      </c>
      <c r="BE17" s="218">
        <f t="shared" si="40"/>
        <v>0</v>
      </c>
      <c r="BF17" s="218">
        <f t="shared" si="41"/>
        <v>0</v>
      </c>
      <c r="BG17" s="218">
        <f t="shared" si="42"/>
        <v>0</v>
      </c>
      <c r="BH17" s="218">
        <f t="shared" si="43"/>
        <v>0</v>
      </c>
      <c r="BI17" s="218">
        <v>7.08</v>
      </c>
      <c r="BJ17" s="200">
        <f t="shared" si="44"/>
        <v>7.079999999999999</v>
      </c>
      <c r="BK17" s="212">
        <f t="shared" si="50"/>
        <v>124848.72</v>
      </c>
      <c r="BL17" s="212">
        <f t="shared" si="51"/>
        <v>124848.72</v>
      </c>
      <c r="BM17" s="322">
        <f t="shared" si="45"/>
        <v>124849</v>
      </c>
    </row>
    <row r="18" spans="1:65" ht="21" customHeight="1">
      <c r="A18" s="205">
        <f t="shared" si="52"/>
        <v>7</v>
      </c>
      <c r="B18" s="319" t="s">
        <v>26</v>
      </c>
      <c r="C18" s="365">
        <v>1469.6</v>
      </c>
      <c r="D18" s="313">
        <v>1469.6</v>
      </c>
      <c r="E18" s="121">
        <f>0/D18/12</f>
        <v>0</v>
      </c>
      <c r="F18" s="132">
        <f t="shared" si="0"/>
        <v>0</v>
      </c>
      <c r="G18" s="132">
        <f t="shared" si="1"/>
        <v>0</v>
      </c>
      <c r="H18" s="130">
        <f t="shared" si="2"/>
        <v>0</v>
      </c>
      <c r="I18" s="232">
        <f>0/D18/12</f>
        <v>0</v>
      </c>
      <c r="J18" s="132">
        <f t="shared" si="3"/>
        <v>0</v>
      </c>
      <c r="K18" s="130">
        <f t="shared" si="4"/>
        <v>0</v>
      </c>
      <c r="L18" s="130">
        <f t="shared" si="5"/>
        <v>0</v>
      </c>
      <c r="M18" s="232">
        <f>0/D18/12</f>
        <v>0</v>
      </c>
      <c r="N18" s="167">
        <f t="shared" si="6"/>
        <v>0</v>
      </c>
      <c r="O18" s="130">
        <f t="shared" si="7"/>
        <v>0</v>
      </c>
      <c r="P18" s="136">
        <f t="shared" si="8"/>
        <v>0</v>
      </c>
      <c r="Q18" s="232">
        <f t="shared" si="53"/>
        <v>0</v>
      </c>
      <c r="R18" s="132">
        <f t="shared" si="46"/>
        <v>0</v>
      </c>
      <c r="S18" s="131">
        <f t="shared" si="9"/>
        <v>0</v>
      </c>
      <c r="T18" s="131">
        <f t="shared" si="10"/>
        <v>0</v>
      </c>
      <c r="U18" s="232">
        <f>0/D18/12</f>
        <v>0</v>
      </c>
      <c r="V18" s="132">
        <f t="shared" si="11"/>
        <v>0</v>
      </c>
      <c r="W18" s="121">
        <f t="shared" si="12"/>
        <v>0</v>
      </c>
      <c r="X18" s="132">
        <f t="shared" si="13"/>
        <v>0</v>
      </c>
      <c r="Y18" s="232">
        <f>0/D18/12</f>
        <v>0</v>
      </c>
      <c r="Z18" s="132">
        <f t="shared" si="14"/>
        <v>0</v>
      </c>
      <c r="AA18" s="132">
        <f t="shared" si="15"/>
        <v>0</v>
      </c>
      <c r="AB18" s="132">
        <f t="shared" si="16"/>
        <v>0</v>
      </c>
      <c r="AC18" s="167">
        <f>0/D18/12</f>
        <v>0</v>
      </c>
      <c r="AD18" s="132">
        <f t="shared" si="17"/>
        <v>0</v>
      </c>
      <c r="AE18" s="130">
        <f t="shared" si="18"/>
        <v>0</v>
      </c>
      <c r="AF18" s="178">
        <f t="shared" si="19"/>
        <v>0</v>
      </c>
      <c r="AG18" s="287">
        <f t="shared" si="20"/>
        <v>0</v>
      </c>
      <c r="AH18" s="288">
        <f t="shared" si="21"/>
        <v>0</v>
      </c>
      <c r="AI18" s="289">
        <f t="shared" si="22"/>
        <v>0</v>
      </c>
      <c r="AJ18" s="289">
        <f t="shared" si="23"/>
        <v>0</v>
      </c>
      <c r="AK18" s="289">
        <f t="shared" si="24"/>
        <v>0.8505715841045184</v>
      </c>
      <c r="AL18" s="288">
        <f t="shared" si="25"/>
        <v>0.85</v>
      </c>
      <c r="AM18" s="289">
        <f t="shared" si="47"/>
        <v>14989.919999999998</v>
      </c>
      <c r="AN18" s="289">
        <f t="shared" si="26"/>
        <v>14990</v>
      </c>
      <c r="AO18" s="218">
        <f t="shared" si="27"/>
        <v>0</v>
      </c>
      <c r="AP18" s="167">
        <f t="shared" si="28"/>
        <v>0</v>
      </c>
      <c r="AQ18" s="218">
        <f t="shared" si="48"/>
        <v>0</v>
      </c>
      <c r="AR18" s="218">
        <f t="shared" si="29"/>
        <v>0</v>
      </c>
      <c r="AS18" s="218">
        <f>6000/D18/12</f>
        <v>0.3402286336418073</v>
      </c>
      <c r="AT18" s="167">
        <f t="shared" si="31"/>
        <v>0.34</v>
      </c>
      <c r="AU18" s="218">
        <f t="shared" si="32"/>
        <v>5999.999999999999</v>
      </c>
      <c r="AV18" s="218">
        <f t="shared" si="33"/>
        <v>6000</v>
      </c>
      <c r="AW18" s="234">
        <f>10000/D18/12</f>
        <v>0.5670477227363455</v>
      </c>
      <c r="AX18" s="167">
        <f t="shared" si="34"/>
        <v>0.5670477227363455</v>
      </c>
      <c r="AY18" s="218">
        <f t="shared" si="49"/>
        <v>10000</v>
      </c>
      <c r="AZ18" s="218">
        <f t="shared" si="35"/>
        <v>10000</v>
      </c>
      <c r="BA18" s="218">
        <f>92000/D18/12</f>
        <v>5.216839049174379</v>
      </c>
      <c r="BB18" s="218">
        <f t="shared" si="37"/>
        <v>5.22</v>
      </c>
      <c r="BC18" s="218">
        <f t="shared" si="38"/>
        <v>92055.74399999999</v>
      </c>
      <c r="BD18" s="218">
        <f t="shared" si="39"/>
        <v>92056</v>
      </c>
      <c r="BE18" s="218">
        <f t="shared" si="40"/>
        <v>0</v>
      </c>
      <c r="BF18" s="218">
        <f t="shared" si="41"/>
        <v>0</v>
      </c>
      <c r="BG18" s="218">
        <f t="shared" si="42"/>
        <v>0</v>
      </c>
      <c r="BH18" s="218">
        <f t="shared" si="43"/>
        <v>0</v>
      </c>
      <c r="BI18" s="218">
        <v>6.98</v>
      </c>
      <c r="BJ18" s="200">
        <f t="shared" si="44"/>
        <v>6.977047722736344</v>
      </c>
      <c r="BK18" s="212">
        <f t="shared" si="50"/>
        <v>123045.66399999999</v>
      </c>
      <c r="BL18" s="212">
        <f t="shared" si="51"/>
        <v>123093.696</v>
      </c>
      <c r="BM18" s="322">
        <f t="shared" si="45"/>
        <v>123046</v>
      </c>
    </row>
    <row r="19" spans="1:65" ht="21" customHeight="1">
      <c r="A19" s="205">
        <f t="shared" si="52"/>
        <v>8</v>
      </c>
      <c r="B19" s="319" t="s">
        <v>27</v>
      </c>
      <c r="C19" s="365">
        <v>3672.36</v>
      </c>
      <c r="D19" s="313">
        <v>3672.36</v>
      </c>
      <c r="E19" s="121">
        <f>50000/D19/12</f>
        <v>1.1346019090357882</v>
      </c>
      <c r="F19" s="132">
        <f t="shared" si="0"/>
        <v>1.13</v>
      </c>
      <c r="G19" s="132">
        <f t="shared" si="1"/>
        <v>49797.20159999999</v>
      </c>
      <c r="H19" s="130">
        <f t="shared" si="2"/>
        <v>49797</v>
      </c>
      <c r="I19" s="232">
        <f>15000/D19/12</f>
        <v>0.34038057271073646</v>
      </c>
      <c r="J19" s="132">
        <f t="shared" si="3"/>
        <v>0.34</v>
      </c>
      <c r="K19" s="130">
        <f t="shared" si="4"/>
        <v>14983.228800000003</v>
      </c>
      <c r="L19" s="130">
        <f t="shared" si="5"/>
        <v>14983</v>
      </c>
      <c r="M19" s="232">
        <f>10000/D19/12</f>
        <v>0.2269203818071576</v>
      </c>
      <c r="N19" s="167">
        <f t="shared" si="6"/>
        <v>0.23</v>
      </c>
      <c r="O19" s="130">
        <f t="shared" si="7"/>
        <v>10135.713600000001</v>
      </c>
      <c r="P19" s="130">
        <f t="shared" si="8"/>
        <v>10136</v>
      </c>
      <c r="Q19" s="232">
        <f>15000/D19/12</f>
        <v>0.34038057271073646</v>
      </c>
      <c r="R19" s="132">
        <f t="shared" si="46"/>
        <v>0.34</v>
      </c>
      <c r="S19" s="131">
        <f t="shared" si="9"/>
        <v>14983.228800000003</v>
      </c>
      <c r="T19" s="131">
        <f t="shared" si="10"/>
        <v>14983</v>
      </c>
      <c r="U19" s="232">
        <f>90000/D19/12</f>
        <v>2.042283436264418</v>
      </c>
      <c r="V19" s="132">
        <f t="shared" si="11"/>
        <v>2.04</v>
      </c>
      <c r="W19" s="121">
        <f t="shared" si="12"/>
        <v>89899.37280000001</v>
      </c>
      <c r="X19" s="132">
        <f t="shared" si="13"/>
        <v>89899</v>
      </c>
      <c r="Y19" s="232">
        <f>70000/D19/12</f>
        <v>1.5884426726501033</v>
      </c>
      <c r="Z19" s="132">
        <f t="shared" si="14"/>
        <v>1.59</v>
      </c>
      <c r="AA19" s="132">
        <f t="shared" si="15"/>
        <v>70068.6288</v>
      </c>
      <c r="AB19" s="132">
        <f t="shared" si="16"/>
        <v>70069</v>
      </c>
      <c r="AC19" s="167">
        <f>22000/D19/12</f>
        <v>0.4992248399757467</v>
      </c>
      <c r="AD19" s="132">
        <f t="shared" si="17"/>
        <v>0.5</v>
      </c>
      <c r="AE19" s="130">
        <f t="shared" si="18"/>
        <v>22034.16</v>
      </c>
      <c r="AF19" s="178">
        <f t="shared" si="19"/>
        <v>22034</v>
      </c>
      <c r="AG19" s="287">
        <f t="shared" si="20"/>
        <v>0</v>
      </c>
      <c r="AH19" s="288">
        <f t="shared" si="21"/>
        <v>0</v>
      </c>
      <c r="AI19" s="289">
        <f t="shared" si="22"/>
        <v>0</v>
      </c>
      <c r="AJ19" s="289">
        <f t="shared" si="23"/>
        <v>0</v>
      </c>
      <c r="AK19" s="289">
        <f t="shared" si="24"/>
        <v>0.34038057271073646</v>
      </c>
      <c r="AL19" s="288">
        <f t="shared" si="25"/>
        <v>0.34</v>
      </c>
      <c r="AM19" s="289">
        <f t="shared" si="47"/>
        <v>14983.228800000003</v>
      </c>
      <c r="AN19" s="289">
        <f t="shared" si="26"/>
        <v>14983</v>
      </c>
      <c r="AO19" s="218">
        <f t="shared" si="27"/>
        <v>0</v>
      </c>
      <c r="AP19" s="167">
        <f t="shared" si="28"/>
        <v>0</v>
      </c>
      <c r="AQ19" s="218">
        <f t="shared" si="48"/>
        <v>0</v>
      </c>
      <c r="AR19" s="218">
        <f t="shared" si="29"/>
        <v>0</v>
      </c>
      <c r="AS19" s="218">
        <f>6000/D19/12</f>
        <v>0.13615222908429456</v>
      </c>
      <c r="AT19" s="167">
        <f t="shared" si="31"/>
        <v>0.14</v>
      </c>
      <c r="AU19" s="218">
        <f t="shared" si="32"/>
        <v>6000</v>
      </c>
      <c r="AV19" s="218">
        <f t="shared" si="33"/>
        <v>6000</v>
      </c>
      <c r="AW19" s="234">
        <f>10000/D19/12</f>
        <v>0.2269203818071576</v>
      </c>
      <c r="AX19" s="167">
        <f t="shared" si="34"/>
        <v>0.2269203818071576</v>
      </c>
      <c r="AY19" s="218">
        <f t="shared" si="49"/>
        <v>10000</v>
      </c>
      <c r="AZ19" s="218">
        <f t="shared" si="35"/>
        <v>10000</v>
      </c>
      <c r="BA19" s="218">
        <f t="shared" si="36"/>
        <v>0</v>
      </c>
      <c r="BB19" s="218">
        <f t="shared" si="37"/>
        <v>0</v>
      </c>
      <c r="BC19" s="218">
        <f t="shared" si="38"/>
        <v>0</v>
      </c>
      <c r="BD19" s="218">
        <f t="shared" si="39"/>
        <v>0</v>
      </c>
      <c r="BE19" s="218">
        <f t="shared" si="40"/>
        <v>0</v>
      </c>
      <c r="BF19" s="218">
        <f t="shared" si="41"/>
        <v>0</v>
      </c>
      <c r="BG19" s="218">
        <f t="shared" si="42"/>
        <v>0</v>
      </c>
      <c r="BH19" s="218">
        <f t="shared" si="43"/>
        <v>0</v>
      </c>
      <c r="BI19" s="218">
        <v>6.87</v>
      </c>
      <c r="BJ19" s="200">
        <f t="shared" si="44"/>
        <v>6.876920381807158</v>
      </c>
      <c r="BK19" s="212">
        <f t="shared" si="50"/>
        <v>302884.7632</v>
      </c>
      <c r="BL19" s="212">
        <f t="shared" si="51"/>
        <v>302749.3584</v>
      </c>
      <c r="BM19" s="322">
        <f t="shared" si="45"/>
        <v>302885</v>
      </c>
    </row>
    <row r="20" spans="1:65" ht="21" customHeight="1">
      <c r="A20" s="205">
        <f t="shared" si="52"/>
        <v>9</v>
      </c>
      <c r="B20" s="319" t="s">
        <v>28</v>
      </c>
      <c r="C20" s="365">
        <v>3653.6</v>
      </c>
      <c r="D20" s="313">
        <v>3783.2</v>
      </c>
      <c r="E20" s="121">
        <f>25000/D20/12</f>
        <v>0.5506802001832664</v>
      </c>
      <c r="F20" s="132">
        <f t="shared" si="0"/>
        <v>0.55</v>
      </c>
      <c r="G20" s="132">
        <f t="shared" si="1"/>
        <v>24969.120000000003</v>
      </c>
      <c r="H20" s="130">
        <f t="shared" si="2"/>
        <v>24969</v>
      </c>
      <c r="I20" s="232">
        <f>0/D20/12</f>
        <v>0</v>
      </c>
      <c r="J20" s="132">
        <f t="shared" si="3"/>
        <v>0</v>
      </c>
      <c r="K20" s="130">
        <f t="shared" si="4"/>
        <v>0</v>
      </c>
      <c r="L20" s="130">
        <f t="shared" si="5"/>
        <v>0</v>
      </c>
      <c r="M20" s="232">
        <f>11000/D20/12</f>
        <v>0.2422992880806372</v>
      </c>
      <c r="N20" s="167">
        <f t="shared" si="6"/>
        <v>0.24</v>
      </c>
      <c r="O20" s="130">
        <f t="shared" si="7"/>
        <v>10895.616</v>
      </c>
      <c r="P20" s="130">
        <f t="shared" si="8"/>
        <v>10896</v>
      </c>
      <c r="Q20" s="232">
        <f t="shared" si="53"/>
        <v>0</v>
      </c>
      <c r="R20" s="132">
        <f t="shared" si="46"/>
        <v>0</v>
      </c>
      <c r="S20" s="131">
        <f t="shared" si="9"/>
        <v>0</v>
      </c>
      <c r="T20" s="131">
        <f t="shared" si="10"/>
        <v>0</v>
      </c>
      <c r="U20" s="232">
        <f>86000/D20/12</f>
        <v>1.8943398886304363</v>
      </c>
      <c r="V20" s="132">
        <f t="shared" si="11"/>
        <v>1.89</v>
      </c>
      <c r="W20" s="121">
        <f t="shared" si="12"/>
        <v>85802.976</v>
      </c>
      <c r="X20" s="132">
        <f t="shared" si="13"/>
        <v>85803</v>
      </c>
      <c r="Y20" s="232">
        <f>70000/D20/12</f>
        <v>1.5419045605131458</v>
      </c>
      <c r="Z20" s="132">
        <f t="shared" si="14"/>
        <v>1.54</v>
      </c>
      <c r="AA20" s="132">
        <f t="shared" si="15"/>
        <v>69913.536</v>
      </c>
      <c r="AB20" s="132">
        <f t="shared" si="16"/>
        <v>69914</v>
      </c>
      <c r="AC20" s="167">
        <f>25000/D20/12</f>
        <v>0.5506802001832664</v>
      </c>
      <c r="AD20" s="132">
        <f t="shared" si="17"/>
        <v>0.55</v>
      </c>
      <c r="AE20" s="130">
        <f t="shared" si="18"/>
        <v>24969.120000000003</v>
      </c>
      <c r="AF20" s="178">
        <f t="shared" si="19"/>
        <v>24969</v>
      </c>
      <c r="AG20" s="287">
        <f t="shared" si="20"/>
        <v>0</v>
      </c>
      <c r="AH20" s="288">
        <f t="shared" si="21"/>
        <v>0</v>
      </c>
      <c r="AI20" s="289">
        <f t="shared" si="22"/>
        <v>0</v>
      </c>
      <c r="AJ20" s="289">
        <f t="shared" si="23"/>
        <v>0</v>
      </c>
      <c r="AK20" s="289">
        <f t="shared" si="24"/>
        <v>0.33040812010995985</v>
      </c>
      <c r="AL20" s="288">
        <f t="shared" si="25"/>
        <v>0.33</v>
      </c>
      <c r="AM20" s="289">
        <f t="shared" si="47"/>
        <v>14981.471999999998</v>
      </c>
      <c r="AN20" s="289">
        <f t="shared" si="26"/>
        <v>14981</v>
      </c>
      <c r="AO20" s="218">
        <f t="shared" si="27"/>
        <v>0</v>
      </c>
      <c r="AP20" s="167">
        <f t="shared" si="28"/>
        <v>0</v>
      </c>
      <c r="AQ20" s="218">
        <f t="shared" si="48"/>
        <v>0</v>
      </c>
      <c r="AR20" s="218">
        <f t="shared" si="29"/>
        <v>0</v>
      </c>
      <c r="AS20" s="218">
        <f t="shared" si="30"/>
        <v>0</v>
      </c>
      <c r="AT20" s="167">
        <f t="shared" si="31"/>
        <v>0</v>
      </c>
      <c r="AU20" s="218">
        <f t="shared" si="32"/>
        <v>0</v>
      </c>
      <c r="AV20" s="218">
        <f t="shared" si="33"/>
        <v>0</v>
      </c>
      <c r="AW20" s="234">
        <f>28000/D20/12</f>
        <v>0.6167618242052584</v>
      </c>
      <c r="AX20" s="167">
        <f t="shared" si="34"/>
        <v>0.6167618242052584</v>
      </c>
      <c r="AY20" s="218">
        <f t="shared" si="49"/>
        <v>28000</v>
      </c>
      <c r="AZ20" s="218">
        <f t="shared" si="35"/>
        <v>28000</v>
      </c>
      <c r="BA20" s="218">
        <f t="shared" si="36"/>
        <v>0</v>
      </c>
      <c r="BB20" s="218">
        <f t="shared" si="37"/>
        <v>0</v>
      </c>
      <c r="BC20" s="218">
        <f t="shared" si="38"/>
        <v>0</v>
      </c>
      <c r="BD20" s="218">
        <f t="shared" si="39"/>
        <v>0</v>
      </c>
      <c r="BE20" s="218">
        <f t="shared" si="40"/>
        <v>0</v>
      </c>
      <c r="BF20" s="218">
        <f t="shared" si="41"/>
        <v>0</v>
      </c>
      <c r="BG20" s="218">
        <f t="shared" si="42"/>
        <v>0</v>
      </c>
      <c r="BH20" s="218">
        <f t="shared" si="43"/>
        <v>0</v>
      </c>
      <c r="BI20" s="218">
        <v>5.72</v>
      </c>
      <c r="BJ20" s="200">
        <f t="shared" si="44"/>
        <v>5.716761824205259</v>
      </c>
      <c r="BK20" s="212">
        <f t="shared" si="50"/>
        <v>259531.84</v>
      </c>
      <c r="BL20" s="212">
        <f t="shared" si="51"/>
        <v>250783.10399999996</v>
      </c>
      <c r="BM20" s="322">
        <f t="shared" si="45"/>
        <v>259532</v>
      </c>
    </row>
    <row r="21" spans="1:65" ht="21" customHeight="1">
      <c r="A21" s="205">
        <f t="shared" si="52"/>
        <v>10</v>
      </c>
      <c r="B21" s="319" t="s">
        <v>29</v>
      </c>
      <c r="C21" s="365">
        <v>1467</v>
      </c>
      <c r="D21" s="313">
        <v>1467</v>
      </c>
      <c r="E21" s="121">
        <f>40000/D21/12</f>
        <v>2.2722108611679164</v>
      </c>
      <c r="F21" s="132">
        <f t="shared" si="0"/>
        <v>2.27</v>
      </c>
      <c r="G21" s="132">
        <f t="shared" si="1"/>
        <v>39961.08</v>
      </c>
      <c r="H21" s="130">
        <f t="shared" si="2"/>
        <v>39961</v>
      </c>
      <c r="I21" s="232">
        <f>0/D21/12</f>
        <v>0</v>
      </c>
      <c r="J21" s="132">
        <f t="shared" si="3"/>
        <v>0</v>
      </c>
      <c r="K21" s="130">
        <f t="shared" si="4"/>
        <v>0</v>
      </c>
      <c r="L21" s="130">
        <f t="shared" si="5"/>
        <v>0</v>
      </c>
      <c r="M21" s="232">
        <f>0/D21/12</f>
        <v>0</v>
      </c>
      <c r="N21" s="167">
        <f t="shared" si="6"/>
        <v>0</v>
      </c>
      <c r="O21" s="130">
        <f t="shared" si="7"/>
        <v>0</v>
      </c>
      <c r="P21" s="130">
        <f t="shared" si="8"/>
        <v>0</v>
      </c>
      <c r="Q21" s="232">
        <f t="shared" si="53"/>
        <v>0</v>
      </c>
      <c r="R21" s="132">
        <f t="shared" si="46"/>
        <v>0</v>
      </c>
      <c r="S21" s="131">
        <f t="shared" si="9"/>
        <v>0</v>
      </c>
      <c r="T21" s="131">
        <f t="shared" si="10"/>
        <v>0</v>
      </c>
      <c r="U21" s="232">
        <f>0/D21/12</f>
        <v>0</v>
      </c>
      <c r="V21" s="132">
        <f t="shared" si="11"/>
        <v>0</v>
      </c>
      <c r="W21" s="121">
        <f t="shared" si="12"/>
        <v>0</v>
      </c>
      <c r="X21" s="132">
        <f t="shared" si="13"/>
        <v>0</v>
      </c>
      <c r="Y21" s="232">
        <f>65000/D21/12</f>
        <v>3.692342649397864</v>
      </c>
      <c r="Z21" s="132">
        <f t="shared" si="14"/>
        <v>3.69</v>
      </c>
      <c r="AA21" s="132">
        <f t="shared" si="15"/>
        <v>64958.759999999995</v>
      </c>
      <c r="AB21" s="132">
        <f t="shared" si="16"/>
        <v>64959</v>
      </c>
      <c r="AC21" s="167">
        <f>0/D21/12</f>
        <v>0</v>
      </c>
      <c r="AD21" s="132">
        <f t="shared" si="17"/>
        <v>0</v>
      </c>
      <c r="AE21" s="130">
        <f t="shared" si="18"/>
        <v>0</v>
      </c>
      <c r="AF21" s="178">
        <f t="shared" si="19"/>
        <v>0</v>
      </c>
      <c r="AG21" s="287">
        <f t="shared" si="20"/>
        <v>0</v>
      </c>
      <c r="AH21" s="288">
        <f t="shared" si="21"/>
        <v>0</v>
      </c>
      <c r="AI21" s="289">
        <f t="shared" si="22"/>
        <v>0</v>
      </c>
      <c r="AJ21" s="289">
        <f t="shared" si="23"/>
        <v>0</v>
      </c>
      <c r="AK21" s="289">
        <f t="shared" si="24"/>
        <v>0.8520790729379687</v>
      </c>
      <c r="AL21" s="288">
        <f t="shared" si="25"/>
        <v>0.85</v>
      </c>
      <c r="AM21" s="289">
        <f t="shared" si="47"/>
        <v>14963.400000000001</v>
      </c>
      <c r="AN21" s="289">
        <f t="shared" si="26"/>
        <v>14963</v>
      </c>
      <c r="AO21" s="218">
        <f t="shared" si="27"/>
        <v>0</v>
      </c>
      <c r="AP21" s="167">
        <f t="shared" si="28"/>
        <v>0</v>
      </c>
      <c r="AQ21" s="218">
        <f t="shared" si="48"/>
        <v>0</v>
      </c>
      <c r="AR21" s="218">
        <f t="shared" si="29"/>
        <v>0</v>
      </c>
      <c r="AS21" s="218">
        <f t="shared" si="30"/>
        <v>0</v>
      </c>
      <c r="AT21" s="167">
        <f t="shared" si="31"/>
        <v>0</v>
      </c>
      <c r="AU21" s="218">
        <f t="shared" si="32"/>
        <v>0</v>
      </c>
      <c r="AV21" s="218">
        <f t="shared" si="33"/>
        <v>0</v>
      </c>
      <c r="AW21" s="234">
        <f>5000/D21/12</f>
        <v>0.28402635764598955</v>
      </c>
      <c r="AX21" s="167">
        <f t="shared" si="34"/>
        <v>0.28402635764598955</v>
      </c>
      <c r="AY21" s="218">
        <f t="shared" si="49"/>
        <v>5000</v>
      </c>
      <c r="AZ21" s="218">
        <f t="shared" si="35"/>
        <v>5000</v>
      </c>
      <c r="BA21" s="218">
        <f t="shared" si="36"/>
        <v>0</v>
      </c>
      <c r="BB21" s="218">
        <f t="shared" si="37"/>
        <v>0</v>
      </c>
      <c r="BC21" s="218">
        <f t="shared" si="38"/>
        <v>0</v>
      </c>
      <c r="BD21" s="218">
        <f t="shared" si="39"/>
        <v>0</v>
      </c>
      <c r="BE21" s="218">
        <f t="shared" si="40"/>
        <v>0</v>
      </c>
      <c r="BF21" s="218">
        <f t="shared" si="41"/>
        <v>0</v>
      </c>
      <c r="BG21" s="218">
        <f t="shared" si="42"/>
        <v>0</v>
      </c>
      <c r="BH21" s="218">
        <f t="shared" si="43"/>
        <v>0</v>
      </c>
      <c r="BI21" s="218">
        <v>7.1</v>
      </c>
      <c r="BJ21" s="200">
        <f t="shared" si="44"/>
        <v>7.094026357645989</v>
      </c>
      <c r="BK21" s="212">
        <f t="shared" si="50"/>
        <v>124883.23999999999</v>
      </c>
      <c r="BL21" s="212">
        <f t="shared" si="51"/>
        <v>124988.4</v>
      </c>
      <c r="BM21" s="322">
        <f t="shared" si="45"/>
        <v>124883</v>
      </c>
    </row>
    <row r="22" spans="1:65" ht="21" customHeight="1">
      <c r="A22" s="205">
        <f t="shared" si="52"/>
        <v>11</v>
      </c>
      <c r="B22" s="319" t="s">
        <v>30</v>
      </c>
      <c r="C22" s="365">
        <v>1412.08</v>
      </c>
      <c r="D22" s="313">
        <v>1412.18</v>
      </c>
      <c r="E22" s="121">
        <f>K329/D22/12</f>
        <v>0</v>
      </c>
      <c r="F22" s="132">
        <f t="shared" si="0"/>
        <v>0</v>
      </c>
      <c r="G22" s="132">
        <f t="shared" si="1"/>
        <v>0</v>
      </c>
      <c r="H22" s="130">
        <f t="shared" si="2"/>
        <v>0</v>
      </c>
      <c r="I22" s="232">
        <f>0/D22/12</f>
        <v>0</v>
      </c>
      <c r="J22" s="132">
        <f t="shared" si="3"/>
        <v>0</v>
      </c>
      <c r="K22" s="130">
        <f t="shared" si="4"/>
        <v>0</v>
      </c>
      <c r="L22" s="130">
        <f t="shared" si="5"/>
        <v>0</v>
      </c>
      <c r="M22" s="232">
        <f>0/D22/12</f>
        <v>0</v>
      </c>
      <c r="N22" s="167">
        <f t="shared" si="6"/>
        <v>0</v>
      </c>
      <c r="O22" s="130">
        <f t="shared" si="7"/>
        <v>0</v>
      </c>
      <c r="P22" s="130">
        <f t="shared" si="8"/>
        <v>0</v>
      </c>
      <c r="Q22" s="232">
        <f>0/D22/12</f>
        <v>0</v>
      </c>
      <c r="R22" s="132">
        <f t="shared" si="46"/>
        <v>0</v>
      </c>
      <c r="S22" s="131">
        <f t="shared" si="9"/>
        <v>0</v>
      </c>
      <c r="T22" s="131">
        <f t="shared" si="10"/>
        <v>0</v>
      </c>
      <c r="U22" s="232">
        <f>0/D22/12</f>
        <v>0</v>
      </c>
      <c r="V22" s="132">
        <f t="shared" si="11"/>
        <v>0</v>
      </c>
      <c r="W22" s="121">
        <f t="shared" si="12"/>
        <v>0</v>
      </c>
      <c r="X22" s="132">
        <f t="shared" si="13"/>
        <v>0</v>
      </c>
      <c r="Y22" s="232">
        <f>0/D22/12</f>
        <v>0</v>
      </c>
      <c r="Z22" s="132">
        <f t="shared" si="14"/>
        <v>0</v>
      </c>
      <c r="AA22" s="132">
        <f t="shared" si="15"/>
        <v>0</v>
      </c>
      <c r="AB22" s="132">
        <f t="shared" si="16"/>
        <v>0</v>
      </c>
      <c r="AC22" s="167">
        <f>0/D22/12</f>
        <v>0</v>
      </c>
      <c r="AD22" s="132">
        <f t="shared" si="17"/>
        <v>0</v>
      </c>
      <c r="AE22" s="130">
        <f t="shared" si="18"/>
        <v>0</v>
      </c>
      <c r="AF22" s="201">
        <f t="shared" si="19"/>
        <v>0</v>
      </c>
      <c r="AG22" s="287">
        <f t="shared" si="20"/>
        <v>0</v>
      </c>
      <c r="AH22" s="288">
        <f t="shared" si="21"/>
        <v>0</v>
      </c>
      <c r="AI22" s="289">
        <f t="shared" si="22"/>
        <v>0</v>
      </c>
      <c r="AJ22" s="290">
        <f t="shared" si="23"/>
        <v>0</v>
      </c>
      <c r="AK22" s="289">
        <f t="shared" si="24"/>
        <v>0.8851562831933606</v>
      </c>
      <c r="AL22" s="288">
        <f t="shared" si="25"/>
        <v>0.89</v>
      </c>
      <c r="AM22" s="289">
        <f t="shared" si="47"/>
        <v>15082.082400000001</v>
      </c>
      <c r="AN22" s="290">
        <f t="shared" si="26"/>
        <v>15082</v>
      </c>
      <c r="AO22" s="218">
        <f t="shared" si="27"/>
        <v>0</v>
      </c>
      <c r="AP22" s="167">
        <f t="shared" si="28"/>
        <v>0</v>
      </c>
      <c r="AQ22" s="218">
        <f t="shared" si="48"/>
        <v>0</v>
      </c>
      <c r="AR22" s="218">
        <f t="shared" si="29"/>
        <v>0</v>
      </c>
      <c r="AS22" s="218">
        <f>6000/D22/12</f>
        <v>0.3540625132773442</v>
      </c>
      <c r="AT22" s="167">
        <f t="shared" si="31"/>
        <v>0.35</v>
      </c>
      <c r="AU22" s="218">
        <f t="shared" si="32"/>
        <v>6000</v>
      </c>
      <c r="AV22" s="218">
        <f t="shared" si="33"/>
        <v>6000</v>
      </c>
      <c r="AW22" s="234">
        <f>0/D22/12</f>
        <v>0</v>
      </c>
      <c r="AX22" s="167">
        <f t="shared" si="34"/>
        <v>0</v>
      </c>
      <c r="AY22" s="218">
        <f t="shared" si="49"/>
        <v>0</v>
      </c>
      <c r="AZ22" s="218">
        <f t="shared" si="35"/>
        <v>0</v>
      </c>
      <c r="BA22" s="218">
        <f>92000/D22/12</f>
        <v>5.4289585369192785</v>
      </c>
      <c r="BB22" s="218">
        <f t="shared" si="37"/>
        <v>5.43</v>
      </c>
      <c r="BC22" s="218">
        <f t="shared" si="38"/>
        <v>92017.6488</v>
      </c>
      <c r="BD22" s="218">
        <f t="shared" si="39"/>
        <v>92018</v>
      </c>
      <c r="BE22" s="218">
        <f>6500/D22/12</f>
        <v>0.38356772271712297</v>
      </c>
      <c r="BF22" s="218">
        <f t="shared" si="41"/>
        <v>0.38</v>
      </c>
      <c r="BG22" s="218">
        <f t="shared" si="42"/>
        <v>6500.000000000001</v>
      </c>
      <c r="BH22" s="218">
        <f t="shared" si="43"/>
        <v>6500</v>
      </c>
      <c r="BI22" s="218">
        <v>7.03</v>
      </c>
      <c r="BJ22" s="200">
        <f t="shared" si="44"/>
        <v>7.049999999999999</v>
      </c>
      <c r="BK22" s="212">
        <f t="shared" si="50"/>
        <v>119599.7312</v>
      </c>
      <c r="BL22" s="212">
        <f t="shared" si="51"/>
        <v>119123.0688</v>
      </c>
      <c r="BM22" s="322">
        <f t="shared" si="45"/>
        <v>119600</v>
      </c>
    </row>
    <row r="23" spans="1:65" ht="21" customHeight="1">
      <c r="A23" s="205">
        <f t="shared" si="52"/>
        <v>12</v>
      </c>
      <c r="B23" s="319" t="s">
        <v>31</v>
      </c>
      <c r="C23" s="365">
        <v>3283.53</v>
      </c>
      <c r="D23" s="313">
        <v>3282.93</v>
      </c>
      <c r="E23" s="121">
        <f>35000/D23/12</f>
        <v>0.888434010675423</v>
      </c>
      <c r="F23" s="132">
        <f t="shared" si="0"/>
        <v>0.89</v>
      </c>
      <c r="G23" s="132">
        <f t="shared" si="1"/>
        <v>35061.6924</v>
      </c>
      <c r="H23" s="130">
        <f t="shared" si="2"/>
        <v>35062</v>
      </c>
      <c r="I23" s="232">
        <f>0/D23/12</f>
        <v>0</v>
      </c>
      <c r="J23" s="132">
        <f t="shared" si="3"/>
        <v>0</v>
      </c>
      <c r="K23" s="130">
        <f t="shared" si="4"/>
        <v>0</v>
      </c>
      <c r="L23" s="130">
        <f t="shared" si="5"/>
        <v>0</v>
      </c>
      <c r="M23" s="232">
        <f>0/D23/12</f>
        <v>0</v>
      </c>
      <c r="N23" s="167">
        <f t="shared" si="6"/>
        <v>0</v>
      </c>
      <c r="O23" s="130">
        <f t="shared" si="7"/>
        <v>0</v>
      </c>
      <c r="P23" s="130">
        <f t="shared" si="8"/>
        <v>0</v>
      </c>
      <c r="Q23" s="232">
        <f>12000/D23/12</f>
        <v>0.30460594651728795</v>
      </c>
      <c r="R23" s="132">
        <f t="shared" si="46"/>
        <v>0.3</v>
      </c>
      <c r="S23" s="131">
        <f t="shared" si="9"/>
        <v>11818.547999999999</v>
      </c>
      <c r="T23" s="131">
        <f t="shared" si="10"/>
        <v>11819</v>
      </c>
      <c r="U23" s="232">
        <f>0/D23/12</f>
        <v>0</v>
      </c>
      <c r="V23" s="132">
        <f t="shared" si="11"/>
        <v>0</v>
      </c>
      <c r="W23" s="121">
        <f t="shared" si="12"/>
        <v>0</v>
      </c>
      <c r="X23" s="132">
        <f t="shared" si="13"/>
        <v>0</v>
      </c>
      <c r="Y23" s="232">
        <f>74000/D23/12</f>
        <v>1.8784033368566089</v>
      </c>
      <c r="Z23" s="132">
        <f t="shared" si="14"/>
        <v>1.88</v>
      </c>
      <c r="AA23" s="132">
        <f t="shared" si="15"/>
        <v>74062.90079999999</v>
      </c>
      <c r="AB23" s="132">
        <f t="shared" si="16"/>
        <v>74063</v>
      </c>
      <c r="AC23" s="167">
        <f>0/D23/12</f>
        <v>0</v>
      </c>
      <c r="AD23" s="132">
        <f t="shared" si="17"/>
        <v>0</v>
      </c>
      <c r="AE23" s="130">
        <f t="shared" si="18"/>
        <v>0</v>
      </c>
      <c r="AF23" s="178">
        <f t="shared" si="19"/>
        <v>0</v>
      </c>
      <c r="AG23" s="287">
        <f t="shared" si="20"/>
        <v>0</v>
      </c>
      <c r="AH23" s="288">
        <f t="shared" si="21"/>
        <v>0</v>
      </c>
      <c r="AI23" s="289">
        <f t="shared" si="22"/>
        <v>0</v>
      </c>
      <c r="AJ23" s="289">
        <f t="shared" si="23"/>
        <v>0</v>
      </c>
      <c r="AK23" s="289">
        <f t="shared" si="24"/>
        <v>0.3807574331466099</v>
      </c>
      <c r="AL23" s="288">
        <f t="shared" si="25"/>
        <v>0.38</v>
      </c>
      <c r="AM23" s="289">
        <f t="shared" si="47"/>
        <v>14970.160800000001</v>
      </c>
      <c r="AN23" s="289">
        <f t="shared" si="26"/>
        <v>14970</v>
      </c>
      <c r="AO23" s="218">
        <f t="shared" si="27"/>
        <v>0</v>
      </c>
      <c r="AP23" s="167">
        <f t="shared" si="28"/>
        <v>0</v>
      </c>
      <c r="AQ23" s="218">
        <f t="shared" si="48"/>
        <v>0</v>
      </c>
      <c r="AR23" s="218">
        <f t="shared" si="29"/>
        <v>0</v>
      </c>
      <c r="AS23" s="218">
        <f t="shared" si="30"/>
        <v>0</v>
      </c>
      <c r="AT23" s="167">
        <f t="shared" si="31"/>
        <v>0</v>
      </c>
      <c r="AU23" s="218">
        <f t="shared" si="32"/>
        <v>0</v>
      </c>
      <c r="AV23" s="218">
        <f t="shared" si="33"/>
        <v>0</v>
      </c>
      <c r="AW23" s="234">
        <f>15000/D23/12</f>
        <v>0.3807574331466099</v>
      </c>
      <c r="AX23" s="167">
        <f t="shared" si="34"/>
        <v>0.3807574331466099</v>
      </c>
      <c r="AY23" s="218">
        <f t="shared" si="49"/>
        <v>15000</v>
      </c>
      <c r="AZ23" s="218">
        <f t="shared" si="35"/>
        <v>15000</v>
      </c>
      <c r="BA23" s="218">
        <f>110000/D23/12</f>
        <v>2.792221176408473</v>
      </c>
      <c r="BB23" s="218">
        <f t="shared" si="37"/>
        <v>2.79</v>
      </c>
      <c r="BC23" s="218">
        <f t="shared" si="38"/>
        <v>109912.4964</v>
      </c>
      <c r="BD23" s="218">
        <f t="shared" si="39"/>
        <v>109912</v>
      </c>
      <c r="BE23" s="218">
        <f>12000/D23/12</f>
        <v>0.30460594651728795</v>
      </c>
      <c r="BF23" s="218">
        <f t="shared" si="41"/>
        <v>0.3</v>
      </c>
      <c r="BG23" s="218">
        <f t="shared" si="42"/>
        <v>12000.000000000002</v>
      </c>
      <c r="BH23" s="218">
        <f t="shared" si="43"/>
        <v>12000</v>
      </c>
      <c r="BI23" s="218">
        <v>6.93</v>
      </c>
      <c r="BJ23" s="200">
        <f t="shared" si="44"/>
        <v>6.920757433146609</v>
      </c>
      <c r="BK23" s="212">
        <f t="shared" si="50"/>
        <v>272825.7984</v>
      </c>
      <c r="BL23" s="212">
        <f t="shared" si="51"/>
        <v>273058.3548</v>
      </c>
      <c r="BM23" s="322">
        <f t="shared" si="45"/>
        <v>272826</v>
      </c>
    </row>
    <row r="24" spans="1:65" ht="21" customHeight="1">
      <c r="A24" s="205">
        <f t="shared" si="52"/>
        <v>13</v>
      </c>
      <c r="B24" s="319" t="s">
        <v>32</v>
      </c>
      <c r="C24" s="365">
        <v>3538.3</v>
      </c>
      <c r="D24" s="313">
        <v>3538.8</v>
      </c>
      <c r="E24" s="121">
        <f>0/D24/12</f>
        <v>0</v>
      </c>
      <c r="F24" s="132">
        <f t="shared" si="0"/>
        <v>0</v>
      </c>
      <c r="G24" s="132">
        <f t="shared" si="1"/>
        <v>0</v>
      </c>
      <c r="H24" s="130">
        <f t="shared" si="2"/>
        <v>0</v>
      </c>
      <c r="I24" s="232">
        <f>15000/D24/12</f>
        <v>0.35322708262687913</v>
      </c>
      <c r="J24" s="132">
        <f t="shared" si="3"/>
        <v>0.35</v>
      </c>
      <c r="K24" s="130">
        <f t="shared" si="4"/>
        <v>14862.96</v>
      </c>
      <c r="L24" s="130">
        <f t="shared" si="5"/>
        <v>14863</v>
      </c>
      <c r="M24" s="232">
        <f>0/D24/12</f>
        <v>0</v>
      </c>
      <c r="N24" s="167">
        <f t="shared" si="6"/>
        <v>0</v>
      </c>
      <c r="O24" s="130">
        <f t="shared" si="7"/>
        <v>0</v>
      </c>
      <c r="P24" s="130">
        <f t="shared" si="8"/>
        <v>0</v>
      </c>
      <c r="Q24" s="232">
        <f t="shared" si="53"/>
        <v>0</v>
      </c>
      <c r="R24" s="132">
        <f t="shared" si="46"/>
        <v>0</v>
      </c>
      <c r="S24" s="131">
        <f t="shared" si="9"/>
        <v>0</v>
      </c>
      <c r="T24" s="131">
        <f t="shared" si="10"/>
        <v>0</v>
      </c>
      <c r="U24" s="232">
        <f>0/D24/12</f>
        <v>0</v>
      </c>
      <c r="V24" s="132">
        <f t="shared" si="11"/>
        <v>0</v>
      </c>
      <c r="W24" s="121">
        <f t="shared" si="12"/>
        <v>0</v>
      </c>
      <c r="X24" s="132">
        <f t="shared" si="13"/>
        <v>0</v>
      </c>
      <c r="Y24" s="232">
        <f>65000/D24/12</f>
        <v>1.530650691383143</v>
      </c>
      <c r="Z24" s="132">
        <f t="shared" si="14"/>
        <v>1.53</v>
      </c>
      <c r="AA24" s="132">
        <f t="shared" si="15"/>
        <v>64972.368</v>
      </c>
      <c r="AB24" s="132">
        <f t="shared" si="16"/>
        <v>64972</v>
      </c>
      <c r="AC24" s="167">
        <f>47000/D24/12</f>
        <v>1.1067781922308881</v>
      </c>
      <c r="AD24" s="132">
        <f t="shared" si="17"/>
        <v>1.11</v>
      </c>
      <c r="AE24" s="130">
        <f t="shared" si="18"/>
        <v>47136.816000000006</v>
      </c>
      <c r="AF24" s="178">
        <f t="shared" si="19"/>
        <v>47137</v>
      </c>
      <c r="AG24" s="287">
        <f t="shared" si="20"/>
        <v>0</v>
      </c>
      <c r="AH24" s="288">
        <f t="shared" si="21"/>
        <v>0</v>
      </c>
      <c r="AI24" s="289">
        <f t="shared" si="22"/>
        <v>0</v>
      </c>
      <c r="AJ24" s="289">
        <f t="shared" si="23"/>
        <v>0</v>
      </c>
      <c r="AK24" s="289">
        <f t="shared" si="24"/>
        <v>0.35322708262687913</v>
      </c>
      <c r="AL24" s="288">
        <f t="shared" si="25"/>
        <v>0.35</v>
      </c>
      <c r="AM24" s="289">
        <f t="shared" si="47"/>
        <v>14862.96</v>
      </c>
      <c r="AN24" s="289">
        <f t="shared" si="26"/>
        <v>14863</v>
      </c>
      <c r="AO24" s="218">
        <f t="shared" si="27"/>
        <v>0</v>
      </c>
      <c r="AP24" s="167">
        <f t="shared" si="28"/>
        <v>0</v>
      </c>
      <c r="AQ24" s="218">
        <f t="shared" si="48"/>
        <v>0</v>
      </c>
      <c r="AR24" s="218">
        <f t="shared" si="29"/>
        <v>0</v>
      </c>
      <c r="AS24" s="218">
        <f>6000/D24/12</f>
        <v>0.14129083305075166</v>
      </c>
      <c r="AT24" s="167">
        <f t="shared" si="31"/>
        <v>0.14</v>
      </c>
      <c r="AU24" s="218">
        <f t="shared" si="32"/>
        <v>6000</v>
      </c>
      <c r="AV24" s="218">
        <f t="shared" si="33"/>
        <v>6000</v>
      </c>
      <c r="AW24" s="234">
        <f>30000/D24/12</f>
        <v>0.7064541652537583</v>
      </c>
      <c r="AX24" s="167">
        <f t="shared" si="34"/>
        <v>0.7064541652537583</v>
      </c>
      <c r="AY24" s="218">
        <f t="shared" si="49"/>
        <v>30000</v>
      </c>
      <c r="AZ24" s="218">
        <f t="shared" si="35"/>
        <v>30000</v>
      </c>
      <c r="BA24" s="218">
        <f t="shared" si="36"/>
        <v>0</v>
      </c>
      <c r="BB24" s="218">
        <f t="shared" si="37"/>
        <v>0</v>
      </c>
      <c r="BC24" s="218">
        <f t="shared" si="38"/>
        <v>0</v>
      </c>
      <c r="BD24" s="218">
        <f t="shared" si="39"/>
        <v>0</v>
      </c>
      <c r="BE24" s="218">
        <f>12000/D24/12</f>
        <v>0.2825816661015033</v>
      </c>
      <c r="BF24" s="218">
        <f t="shared" si="41"/>
        <v>0.28</v>
      </c>
      <c r="BG24" s="218">
        <f t="shared" si="42"/>
        <v>12000</v>
      </c>
      <c r="BH24" s="218">
        <f t="shared" si="43"/>
        <v>12000</v>
      </c>
      <c r="BI24" s="218">
        <v>4.47</v>
      </c>
      <c r="BJ24" s="200">
        <f t="shared" si="44"/>
        <v>4.466454165253758</v>
      </c>
      <c r="BK24" s="212">
        <f t="shared" si="50"/>
        <v>189835.10400000002</v>
      </c>
      <c r="BL24" s="212">
        <f t="shared" si="51"/>
        <v>189794.41199999998</v>
      </c>
      <c r="BM24" s="322">
        <f t="shared" si="45"/>
        <v>189835</v>
      </c>
    </row>
    <row r="25" spans="1:65" ht="21" customHeight="1">
      <c r="A25" s="205">
        <f t="shared" si="52"/>
        <v>14</v>
      </c>
      <c r="B25" s="319" t="s">
        <v>33</v>
      </c>
      <c r="C25" s="365">
        <v>4855.1</v>
      </c>
      <c r="D25" s="313">
        <v>4855.1</v>
      </c>
      <c r="E25" s="121">
        <f>20000/D25/12</f>
        <v>0.3432816351190844</v>
      </c>
      <c r="F25" s="132">
        <f t="shared" si="0"/>
        <v>0.34</v>
      </c>
      <c r="G25" s="132">
        <f t="shared" si="1"/>
        <v>19808.808</v>
      </c>
      <c r="H25" s="130">
        <f t="shared" si="2"/>
        <v>19809</v>
      </c>
      <c r="I25" s="232">
        <v>0</v>
      </c>
      <c r="J25" s="132">
        <f t="shared" si="3"/>
        <v>0</v>
      </c>
      <c r="K25" s="130">
        <f t="shared" si="4"/>
        <v>0</v>
      </c>
      <c r="L25" s="130">
        <f t="shared" si="5"/>
        <v>0</v>
      </c>
      <c r="M25" s="232">
        <f>N329/D25/12</f>
        <v>0</v>
      </c>
      <c r="N25" s="167">
        <f t="shared" si="6"/>
        <v>0</v>
      </c>
      <c r="O25" s="130">
        <f t="shared" si="7"/>
        <v>0</v>
      </c>
      <c r="P25" s="130">
        <f t="shared" si="8"/>
        <v>0</v>
      </c>
      <c r="Q25" s="232">
        <f>17000/D25/12</f>
        <v>0.2917893898512217</v>
      </c>
      <c r="R25" s="132">
        <f t="shared" si="46"/>
        <v>0.29</v>
      </c>
      <c r="S25" s="131">
        <f t="shared" si="9"/>
        <v>16895.748</v>
      </c>
      <c r="T25" s="131">
        <f t="shared" si="10"/>
        <v>16896</v>
      </c>
      <c r="U25" s="232">
        <f>100000/D25/12</f>
        <v>1.716408175595422</v>
      </c>
      <c r="V25" s="132">
        <f t="shared" si="11"/>
        <v>1.72</v>
      </c>
      <c r="W25" s="121">
        <f t="shared" si="12"/>
        <v>100209.26400000001</v>
      </c>
      <c r="X25" s="132">
        <f t="shared" si="13"/>
        <v>100209</v>
      </c>
      <c r="Y25" s="232">
        <f>150000/D25/12</f>
        <v>2.5746122633931328</v>
      </c>
      <c r="Z25" s="132">
        <f t="shared" si="14"/>
        <v>2.57</v>
      </c>
      <c r="AA25" s="132">
        <f t="shared" si="15"/>
        <v>149731.28399999999</v>
      </c>
      <c r="AB25" s="132">
        <f t="shared" si="16"/>
        <v>149731</v>
      </c>
      <c r="AC25" s="167">
        <f>80000/D25/12</f>
        <v>1.3731265404763375</v>
      </c>
      <c r="AD25" s="132">
        <f t="shared" si="17"/>
        <v>1.37</v>
      </c>
      <c r="AE25" s="130">
        <f t="shared" si="18"/>
        <v>79817.84400000001</v>
      </c>
      <c r="AF25" s="178">
        <f t="shared" si="19"/>
        <v>79818</v>
      </c>
      <c r="AG25" s="287">
        <f t="shared" si="20"/>
        <v>0</v>
      </c>
      <c r="AH25" s="288">
        <f t="shared" si="21"/>
        <v>0</v>
      </c>
      <c r="AI25" s="289">
        <f t="shared" si="22"/>
        <v>0</v>
      </c>
      <c r="AJ25" s="289">
        <f t="shared" si="23"/>
        <v>0</v>
      </c>
      <c r="AK25" s="289">
        <f t="shared" si="24"/>
        <v>0.2574612263393133</v>
      </c>
      <c r="AL25" s="288">
        <f t="shared" si="25"/>
        <v>0.26</v>
      </c>
      <c r="AM25" s="289">
        <f t="shared" si="47"/>
        <v>15147.912000000004</v>
      </c>
      <c r="AN25" s="289">
        <f t="shared" si="26"/>
        <v>15148</v>
      </c>
      <c r="AO25" s="218">
        <f t="shared" si="27"/>
        <v>0</v>
      </c>
      <c r="AP25" s="167">
        <f t="shared" si="28"/>
        <v>0</v>
      </c>
      <c r="AQ25" s="218">
        <f t="shared" si="48"/>
        <v>0</v>
      </c>
      <c r="AR25" s="218">
        <f t="shared" si="29"/>
        <v>0</v>
      </c>
      <c r="AS25" s="218">
        <f t="shared" si="30"/>
        <v>0</v>
      </c>
      <c r="AT25" s="167">
        <f t="shared" si="31"/>
        <v>0</v>
      </c>
      <c r="AU25" s="218">
        <f t="shared" si="32"/>
        <v>0</v>
      </c>
      <c r="AV25" s="218">
        <f t="shared" si="33"/>
        <v>0</v>
      </c>
      <c r="AW25" s="234">
        <f>20000/D25/12</f>
        <v>0.3432816351190844</v>
      </c>
      <c r="AX25" s="167">
        <f t="shared" si="34"/>
        <v>0.3432816351190844</v>
      </c>
      <c r="AY25" s="218">
        <f t="shared" si="49"/>
        <v>20000</v>
      </c>
      <c r="AZ25" s="218">
        <f t="shared" si="35"/>
        <v>20000</v>
      </c>
      <c r="BA25" s="218">
        <f t="shared" si="36"/>
        <v>0</v>
      </c>
      <c r="BB25" s="218">
        <f t="shared" si="37"/>
        <v>0</v>
      </c>
      <c r="BC25" s="218">
        <f t="shared" si="38"/>
        <v>0</v>
      </c>
      <c r="BD25" s="218">
        <f t="shared" si="39"/>
        <v>0</v>
      </c>
      <c r="BE25" s="218">
        <f t="shared" si="40"/>
        <v>0</v>
      </c>
      <c r="BF25" s="218">
        <f t="shared" si="41"/>
        <v>0</v>
      </c>
      <c r="BG25" s="218">
        <f t="shared" si="42"/>
        <v>0</v>
      </c>
      <c r="BH25" s="218">
        <f t="shared" si="43"/>
        <v>0</v>
      </c>
      <c r="BI25" s="218">
        <v>6.9</v>
      </c>
      <c r="BJ25" s="200">
        <f t="shared" si="44"/>
        <v>6.893281635119084</v>
      </c>
      <c r="BK25" s="212">
        <f t="shared" si="50"/>
        <v>401610.86</v>
      </c>
      <c r="BL25" s="212">
        <f t="shared" si="51"/>
        <v>402002.28</v>
      </c>
      <c r="BM25" s="322">
        <f t="shared" si="45"/>
        <v>401611</v>
      </c>
    </row>
    <row r="26" spans="1:65" ht="21" customHeight="1">
      <c r="A26" s="205">
        <f t="shared" si="52"/>
        <v>15</v>
      </c>
      <c r="B26" s="319" t="s">
        <v>34</v>
      </c>
      <c r="C26" s="365">
        <v>4736.51</v>
      </c>
      <c r="D26" s="313">
        <v>4736.91</v>
      </c>
      <c r="E26" s="121">
        <f>20000/D26/12</f>
        <v>0.35184680871426033</v>
      </c>
      <c r="F26" s="132">
        <f t="shared" si="0"/>
        <v>0.35</v>
      </c>
      <c r="G26" s="132">
        <f t="shared" si="1"/>
        <v>19895.021999999997</v>
      </c>
      <c r="H26" s="130">
        <f t="shared" si="2"/>
        <v>19895</v>
      </c>
      <c r="I26" s="232">
        <v>0</v>
      </c>
      <c r="J26" s="132">
        <f t="shared" si="3"/>
        <v>0</v>
      </c>
      <c r="K26" s="130">
        <f t="shared" si="4"/>
        <v>0</v>
      </c>
      <c r="L26" s="130">
        <f t="shared" si="5"/>
        <v>0</v>
      </c>
      <c r="M26" s="232">
        <f>N330/D26/12</f>
        <v>0</v>
      </c>
      <c r="N26" s="167">
        <f t="shared" si="6"/>
        <v>0</v>
      </c>
      <c r="O26" s="130">
        <f t="shared" si="7"/>
        <v>0</v>
      </c>
      <c r="P26" s="136">
        <f t="shared" si="8"/>
        <v>0</v>
      </c>
      <c r="Q26" s="232">
        <f>15000/D26/12</f>
        <v>0.26388510653569525</v>
      </c>
      <c r="R26" s="132">
        <f t="shared" si="46"/>
        <v>0.26</v>
      </c>
      <c r="S26" s="131">
        <f t="shared" si="9"/>
        <v>14779.159200000002</v>
      </c>
      <c r="T26" s="131">
        <f t="shared" si="10"/>
        <v>14779</v>
      </c>
      <c r="U26" s="232">
        <f>100000/D26/12</f>
        <v>1.7592340435713014</v>
      </c>
      <c r="V26" s="132">
        <f t="shared" si="11"/>
        <v>1.76</v>
      </c>
      <c r="W26" s="121">
        <f t="shared" si="12"/>
        <v>100043.5392</v>
      </c>
      <c r="X26" s="132">
        <f t="shared" si="13"/>
        <v>100044</v>
      </c>
      <c r="Y26" s="232">
        <f>150000/D26/12</f>
        <v>2.638851065356952</v>
      </c>
      <c r="Z26" s="132">
        <f t="shared" si="14"/>
        <v>2.64</v>
      </c>
      <c r="AA26" s="132">
        <f t="shared" si="15"/>
        <v>150065.3088</v>
      </c>
      <c r="AB26" s="132">
        <f t="shared" si="16"/>
        <v>150065</v>
      </c>
      <c r="AC26" s="167">
        <f>75000/D26/12</f>
        <v>1.319425532678476</v>
      </c>
      <c r="AD26" s="132">
        <f t="shared" si="17"/>
        <v>1.32</v>
      </c>
      <c r="AE26" s="130">
        <f t="shared" si="18"/>
        <v>75032.6544</v>
      </c>
      <c r="AF26" s="178">
        <f t="shared" si="19"/>
        <v>75033</v>
      </c>
      <c r="AG26" s="287">
        <f t="shared" si="20"/>
        <v>0</v>
      </c>
      <c r="AH26" s="288">
        <f t="shared" si="21"/>
        <v>0</v>
      </c>
      <c r="AI26" s="289">
        <f t="shared" si="22"/>
        <v>0</v>
      </c>
      <c r="AJ26" s="289">
        <f t="shared" si="23"/>
        <v>0</v>
      </c>
      <c r="AK26" s="289">
        <f t="shared" si="24"/>
        <v>0.26388510653569525</v>
      </c>
      <c r="AL26" s="288">
        <f t="shared" si="25"/>
        <v>0.26</v>
      </c>
      <c r="AM26" s="289">
        <f t="shared" si="47"/>
        <v>14779.159200000002</v>
      </c>
      <c r="AN26" s="289">
        <f t="shared" si="26"/>
        <v>14779</v>
      </c>
      <c r="AO26" s="218">
        <f t="shared" si="27"/>
        <v>0</v>
      </c>
      <c r="AP26" s="167">
        <f t="shared" si="28"/>
        <v>0</v>
      </c>
      <c r="AQ26" s="218">
        <f t="shared" si="48"/>
        <v>0</v>
      </c>
      <c r="AR26" s="218">
        <f t="shared" si="29"/>
        <v>0</v>
      </c>
      <c r="AS26" s="218">
        <f t="shared" si="30"/>
        <v>0</v>
      </c>
      <c r="AT26" s="167">
        <f t="shared" si="31"/>
        <v>0</v>
      </c>
      <c r="AU26" s="218">
        <f t="shared" si="32"/>
        <v>0</v>
      </c>
      <c r="AV26" s="218">
        <f t="shared" si="33"/>
        <v>0</v>
      </c>
      <c r="AW26" s="234">
        <f>20000/D26/12</f>
        <v>0.35184680871426033</v>
      </c>
      <c r="AX26" s="167">
        <f t="shared" si="34"/>
        <v>0.35184680871426033</v>
      </c>
      <c r="AY26" s="218">
        <f t="shared" si="49"/>
        <v>20000</v>
      </c>
      <c r="AZ26" s="218">
        <f t="shared" si="35"/>
        <v>20000</v>
      </c>
      <c r="BA26" s="218">
        <f t="shared" si="36"/>
        <v>0</v>
      </c>
      <c r="BB26" s="218">
        <f t="shared" si="37"/>
        <v>0</v>
      </c>
      <c r="BC26" s="218">
        <f t="shared" si="38"/>
        <v>0</v>
      </c>
      <c r="BD26" s="218">
        <f t="shared" si="39"/>
        <v>0</v>
      </c>
      <c r="BE26" s="218">
        <f t="shared" si="40"/>
        <v>0</v>
      </c>
      <c r="BF26" s="218">
        <f t="shared" si="41"/>
        <v>0</v>
      </c>
      <c r="BG26" s="218">
        <f t="shared" si="42"/>
        <v>0</v>
      </c>
      <c r="BH26" s="218">
        <f t="shared" si="43"/>
        <v>0</v>
      </c>
      <c r="BI26" s="218">
        <v>6.94</v>
      </c>
      <c r="BJ26" s="200">
        <f t="shared" si="44"/>
        <v>6.94184680871426</v>
      </c>
      <c r="BK26" s="212">
        <f t="shared" si="50"/>
        <v>394594.8428</v>
      </c>
      <c r="BL26" s="212">
        <f t="shared" si="51"/>
        <v>394456.55280000006</v>
      </c>
      <c r="BM26" s="322">
        <f t="shared" si="45"/>
        <v>394595</v>
      </c>
    </row>
    <row r="27" spans="1:65" ht="21" customHeight="1">
      <c r="A27" s="205">
        <f t="shared" si="52"/>
        <v>16</v>
      </c>
      <c r="B27" s="319" t="s">
        <v>35</v>
      </c>
      <c r="C27" s="365">
        <v>4639.8</v>
      </c>
      <c r="D27" s="313">
        <v>4639.8</v>
      </c>
      <c r="E27" s="121">
        <f>35000/D27/12</f>
        <v>0.6286190496716813</v>
      </c>
      <c r="F27" s="132">
        <f t="shared" si="0"/>
        <v>0.63</v>
      </c>
      <c r="G27" s="132">
        <f t="shared" si="1"/>
        <v>35076.888</v>
      </c>
      <c r="H27" s="130">
        <f t="shared" si="2"/>
        <v>35077</v>
      </c>
      <c r="I27" s="232">
        <f>0/D27/12</f>
        <v>0</v>
      </c>
      <c r="J27" s="132">
        <f t="shared" si="3"/>
        <v>0</v>
      </c>
      <c r="K27" s="130">
        <f>J27*D27*12</f>
        <v>0</v>
      </c>
      <c r="L27" s="130">
        <f t="shared" si="5"/>
        <v>0</v>
      </c>
      <c r="M27" s="232">
        <f>0/D27/12</f>
        <v>0</v>
      </c>
      <c r="N27" s="167">
        <f t="shared" si="6"/>
        <v>0</v>
      </c>
      <c r="O27" s="130">
        <f t="shared" si="7"/>
        <v>0</v>
      </c>
      <c r="P27" s="130">
        <f t="shared" si="8"/>
        <v>0</v>
      </c>
      <c r="Q27" s="232">
        <f>12000/D27/12</f>
        <v>0.215526531316005</v>
      </c>
      <c r="R27" s="132">
        <f t="shared" si="46"/>
        <v>0.22</v>
      </c>
      <c r="S27" s="131">
        <f t="shared" si="9"/>
        <v>12249.072</v>
      </c>
      <c r="T27" s="131">
        <f t="shared" si="10"/>
        <v>12249</v>
      </c>
      <c r="U27" s="232">
        <f>100000/D27/12</f>
        <v>1.796054427633375</v>
      </c>
      <c r="V27" s="132">
        <f t="shared" si="11"/>
        <v>1.8</v>
      </c>
      <c r="W27" s="121">
        <f>V27*D27*12</f>
        <v>100219.68000000002</v>
      </c>
      <c r="X27" s="132">
        <f t="shared" si="13"/>
        <v>100220</v>
      </c>
      <c r="Y27" s="232">
        <f>140000/D27/12</f>
        <v>2.514476198686725</v>
      </c>
      <c r="Z27" s="132">
        <f t="shared" si="14"/>
        <v>2.51</v>
      </c>
      <c r="AA27" s="132">
        <f>Z27*D27*12</f>
        <v>139750.77599999998</v>
      </c>
      <c r="AB27" s="132">
        <f t="shared" si="16"/>
        <v>139751</v>
      </c>
      <c r="AC27" s="167">
        <f>60000/D27/12</f>
        <v>1.077632656580025</v>
      </c>
      <c r="AD27" s="132">
        <f t="shared" si="17"/>
        <v>1.08</v>
      </c>
      <c r="AE27" s="130">
        <f t="shared" si="18"/>
        <v>60131.808000000005</v>
      </c>
      <c r="AF27" s="178">
        <f t="shared" si="19"/>
        <v>60132</v>
      </c>
      <c r="AG27" s="287">
        <f t="shared" si="20"/>
        <v>0</v>
      </c>
      <c r="AH27" s="288">
        <f t="shared" si="21"/>
        <v>0</v>
      </c>
      <c r="AI27" s="289">
        <f t="shared" si="22"/>
        <v>0</v>
      </c>
      <c r="AJ27" s="289">
        <f t="shared" si="23"/>
        <v>0</v>
      </c>
      <c r="AK27" s="289">
        <f>15000/D27/12</f>
        <v>0.26940816414500623</v>
      </c>
      <c r="AL27" s="288">
        <f t="shared" si="25"/>
        <v>0.27</v>
      </c>
      <c r="AM27" s="289">
        <f t="shared" si="47"/>
        <v>15032.952000000001</v>
      </c>
      <c r="AN27" s="289">
        <f t="shared" si="26"/>
        <v>15033</v>
      </c>
      <c r="AO27" s="218">
        <f t="shared" si="27"/>
        <v>0</v>
      </c>
      <c r="AP27" s="167">
        <v>0</v>
      </c>
      <c r="AQ27" s="218">
        <f t="shared" si="48"/>
        <v>0</v>
      </c>
      <c r="AR27" s="218">
        <f t="shared" si="29"/>
        <v>0</v>
      </c>
      <c r="AS27" s="218">
        <f t="shared" si="30"/>
        <v>0</v>
      </c>
      <c r="AT27" s="167">
        <f t="shared" si="31"/>
        <v>0</v>
      </c>
      <c r="AU27" s="218">
        <f t="shared" si="32"/>
        <v>0</v>
      </c>
      <c r="AV27" s="218">
        <f t="shared" si="33"/>
        <v>0</v>
      </c>
      <c r="AW27" s="234">
        <f>20000/D27/12</f>
        <v>0.35921088552667496</v>
      </c>
      <c r="AX27" s="167">
        <f t="shared" si="34"/>
        <v>0.35921088552667496</v>
      </c>
      <c r="AY27" s="218">
        <f t="shared" si="49"/>
        <v>20000</v>
      </c>
      <c r="AZ27" s="218">
        <f t="shared" si="35"/>
        <v>20000</v>
      </c>
      <c r="BA27" s="218">
        <f t="shared" si="36"/>
        <v>0</v>
      </c>
      <c r="BB27" s="218">
        <f t="shared" si="37"/>
        <v>0</v>
      </c>
      <c r="BC27" s="218">
        <f t="shared" si="38"/>
        <v>0</v>
      </c>
      <c r="BD27" s="218">
        <f t="shared" si="39"/>
        <v>0</v>
      </c>
      <c r="BE27" s="218">
        <f t="shared" si="40"/>
        <v>0</v>
      </c>
      <c r="BF27" s="218">
        <f t="shared" si="41"/>
        <v>0</v>
      </c>
      <c r="BG27" s="218">
        <f t="shared" si="42"/>
        <v>0</v>
      </c>
      <c r="BH27" s="218">
        <f t="shared" si="43"/>
        <v>0</v>
      </c>
      <c r="BI27" s="218">
        <v>6.86</v>
      </c>
      <c r="BJ27" s="200">
        <f t="shared" si="44"/>
        <v>6.869210885526674</v>
      </c>
      <c r="BK27" s="212">
        <f t="shared" si="50"/>
        <v>382461.176</v>
      </c>
      <c r="BL27" s="212">
        <f t="shared" si="51"/>
        <v>381948.336</v>
      </c>
      <c r="BM27" s="322">
        <f t="shared" si="45"/>
        <v>382461</v>
      </c>
    </row>
    <row r="28" spans="1:65" ht="21" customHeight="1">
      <c r="A28" s="205">
        <f t="shared" si="52"/>
        <v>17</v>
      </c>
      <c r="B28" s="319" t="s">
        <v>36</v>
      </c>
      <c r="C28" s="365">
        <v>3675.6</v>
      </c>
      <c r="D28" s="313">
        <v>3675.8</v>
      </c>
      <c r="E28" s="121">
        <f>45000/D28/12</f>
        <v>1.0201860819413462</v>
      </c>
      <c r="F28" s="132">
        <f t="shared" si="0"/>
        <v>1.02</v>
      </c>
      <c r="G28" s="132">
        <f t="shared" si="1"/>
        <v>44991.792</v>
      </c>
      <c r="H28" s="130">
        <f t="shared" si="2"/>
        <v>44992</v>
      </c>
      <c r="I28" s="232">
        <f>0/D28/12</f>
        <v>0</v>
      </c>
      <c r="J28" s="130">
        <f>ROUND(I28,1)</f>
        <v>0</v>
      </c>
      <c r="K28" s="130">
        <f t="shared" si="4"/>
        <v>0</v>
      </c>
      <c r="L28" s="130">
        <f t="shared" si="5"/>
        <v>0</v>
      </c>
      <c r="M28" s="232">
        <f>0/D28/12</f>
        <v>0</v>
      </c>
      <c r="N28" s="167">
        <f t="shared" si="6"/>
        <v>0</v>
      </c>
      <c r="O28" s="130">
        <f t="shared" si="7"/>
        <v>0</v>
      </c>
      <c r="P28" s="130">
        <f t="shared" si="8"/>
        <v>0</v>
      </c>
      <c r="Q28" s="232">
        <f>18000/D28/12</f>
        <v>0.40807443277653843</v>
      </c>
      <c r="R28" s="132">
        <f t="shared" si="46"/>
        <v>0.41</v>
      </c>
      <c r="S28" s="131">
        <f t="shared" si="9"/>
        <v>18084.936</v>
      </c>
      <c r="T28" s="131">
        <f t="shared" si="10"/>
        <v>18085</v>
      </c>
      <c r="U28" s="232">
        <f>0/D28/12</f>
        <v>0</v>
      </c>
      <c r="V28" s="132">
        <f t="shared" si="11"/>
        <v>0</v>
      </c>
      <c r="W28" s="121">
        <f t="shared" si="12"/>
        <v>0</v>
      </c>
      <c r="X28" s="132">
        <f t="shared" si="13"/>
        <v>0</v>
      </c>
      <c r="Y28" s="232">
        <f>65000/D28/12</f>
        <v>1.4736021183597219</v>
      </c>
      <c r="Z28" s="132">
        <f t="shared" si="14"/>
        <v>1.47</v>
      </c>
      <c r="AA28" s="132">
        <f t="shared" si="15"/>
        <v>64841.11200000001</v>
      </c>
      <c r="AB28" s="132">
        <f t="shared" si="16"/>
        <v>64841</v>
      </c>
      <c r="AC28" s="167">
        <f>0/D28/12</f>
        <v>0</v>
      </c>
      <c r="AD28" s="132">
        <f t="shared" si="17"/>
        <v>0</v>
      </c>
      <c r="AE28" s="130">
        <f t="shared" si="18"/>
        <v>0</v>
      </c>
      <c r="AF28" s="178">
        <f t="shared" si="19"/>
        <v>0</v>
      </c>
      <c r="AG28" s="287">
        <f t="shared" si="20"/>
        <v>0</v>
      </c>
      <c r="AH28" s="288">
        <f t="shared" si="21"/>
        <v>0</v>
      </c>
      <c r="AI28" s="289">
        <f t="shared" si="22"/>
        <v>0</v>
      </c>
      <c r="AJ28" s="287">
        <f t="shared" si="23"/>
        <v>0</v>
      </c>
      <c r="AK28" s="289">
        <f t="shared" si="24"/>
        <v>0.340062027313782</v>
      </c>
      <c r="AL28" s="288">
        <f t="shared" si="25"/>
        <v>0.34</v>
      </c>
      <c r="AM28" s="289">
        <f t="shared" si="47"/>
        <v>14997.264000000003</v>
      </c>
      <c r="AN28" s="289">
        <f t="shared" si="26"/>
        <v>14997</v>
      </c>
      <c r="AO28" s="218">
        <f aca="true" t="shared" si="54" ref="AO28:AO34">18000/D28/12</f>
        <v>0.40807443277653843</v>
      </c>
      <c r="AP28" s="167">
        <f t="shared" si="28"/>
        <v>0.41</v>
      </c>
      <c r="AQ28" s="218">
        <f t="shared" si="48"/>
        <v>18084.936</v>
      </c>
      <c r="AR28" s="218">
        <f t="shared" si="29"/>
        <v>18085</v>
      </c>
      <c r="AS28" s="218">
        <f t="shared" si="30"/>
        <v>0</v>
      </c>
      <c r="AT28" s="167">
        <f t="shared" si="31"/>
        <v>0</v>
      </c>
      <c r="AU28" s="218">
        <f t="shared" si="32"/>
        <v>0</v>
      </c>
      <c r="AV28" s="218">
        <f t="shared" si="33"/>
        <v>0</v>
      </c>
      <c r="AW28" s="234">
        <f>5000/D28/12</f>
        <v>0.11335400910459399</v>
      </c>
      <c r="AX28" s="167">
        <f t="shared" si="34"/>
        <v>0.11335400910459399</v>
      </c>
      <c r="AY28" s="218">
        <f t="shared" si="49"/>
        <v>5000</v>
      </c>
      <c r="AZ28" s="218">
        <f t="shared" si="35"/>
        <v>5000</v>
      </c>
      <c r="BA28" s="218">
        <f>140000/D28/12</f>
        <v>3.173912254928632</v>
      </c>
      <c r="BB28" s="218">
        <f t="shared" si="37"/>
        <v>3.17</v>
      </c>
      <c r="BC28" s="218">
        <f t="shared" si="38"/>
        <v>139827.432</v>
      </c>
      <c r="BD28" s="218">
        <f t="shared" si="39"/>
        <v>139827</v>
      </c>
      <c r="BE28" s="218">
        <f t="shared" si="40"/>
        <v>0</v>
      </c>
      <c r="BF28" s="218">
        <f t="shared" si="41"/>
        <v>0</v>
      </c>
      <c r="BG28" s="218">
        <v>0</v>
      </c>
      <c r="BH28" s="218">
        <f t="shared" si="43"/>
        <v>0</v>
      </c>
      <c r="BI28" s="218">
        <v>6.92</v>
      </c>
      <c r="BJ28" s="200">
        <f t="shared" si="44"/>
        <v>6.933354009104594</v>
      </c>
      <c r="BK28" s="212">
        <f t="shared" si="50"/>
        <v>305827.47200000007</v>
      </c>
      <c r="BL28" s="212">
        <f t="shared" si="51"/>
        <v>305221.82399999996</v>
      </c>
      <c r="BM28" s="322">
        <f t="shared" si="45"/>
        <v>305827</v>
      </c>
    </row>
    <row r="29" spans="1:65" ht="21" customHeight="1">
      <c r="A29" s="205">
        <f t="shared" si="52"/>
        <v>18</v>
      </c>
      <c r="B29" s="319" t="s">
        <v>37</v>
      </c>
      <c r="C29" s="365">
        <v>1487.25</v>
      </c>
      <c r="D29" s="313">
        <v>1487.25</v>
      </c>
      <c r="E29" s="121">
        <f>0/D29/12</f>
        <v>0</v>
      </c>
      <c r="F29" s="132">
        <f t="shared" si="0"/>
        <v>0</v>
      </c>
      <c r="G29" s="132">
        <f t="shared" si="1"/>
        <v>0</v>
      </c>
      <c r="H29" s="130">
        <f t="shared" si="2"/>
        <v>0</v>
      </c>
      <c r="I29" s="232">
        <f>0/D29/12</f>
        <v>0</v>
      </c>
      <c r="J29" s="130">
        <f>ROUND(I29,1)</f>
        <v>0</v>
      </c>
      <c r="K29" s="130">
        <f t="shared" si="4"/>
        <v>0</v>
      </c>
      <c r="L29" s="130">
        <f t="shared" si="5"/>
        <v>0</v>
      </c>
      <c r="M29" s="232">
        <f>10000/D29/12</f>
        <v>0.5603182607721185</v>
      </c>
      <c r="N29" s="167">
        <f t="shared" si="6"/>
        <v>0.56</v>
      </c>
      <c r="O29" s="130">
        <f t="shared" si="7"/>
        <v>9994.320000000002</v>
      </c>
      <c r="P29" s="130">
        <f t="shared" si="8"/>
        <v>9994</v>
      </c>
      <c r="Q29" s="232">
        <f t="shared" si="53"/>
        <v>0</v>
      </c>
      <c r="R29" s="132">
        <f t="shared" si="46"/>
        <v>0</v>
      </c>
      <c r="S29" s="131">
        <f t="shared" si="9"/>
        <v>0</v>
      </c>
      <c r="T29" s="131">
        <f t="shared" si="10"/>
        <v>0</v>
      </c>
      <c r="U29" s="232">
        <f>80000/D29/12</f>
        <v>4.482546086176948</v>
      </c>
      <c r="V29" s="132">
        <f t="shared" si="11"/>
        <v>4.48</v>
      </c>
      <c r="W29" s="121">
        <f t="shared" si="12"/>
        <v>79954.56000000001</v>
      </c>
      <c r="X29" s="132">
        <f t="shared" si="13"/>
        <v>79955</v>
      </c>
      <c r="Y29" s="232">
        <f>0/D29/12</f>
        <v>0</v>
      </c>
      <c r="Z29" s="132">
        <f t="shared" si="14"/>
        <v>0</v>
      </c>
      <c r="AA29" s="132">
        <f t="shared" si="15"/>
        <v>0</v>
      </c>
      <c r="AB29" s="132">
        <f t="shared" si="16"/>
        <v>0</v>
      </c>
      <c r="AC29" s="167">
        <f>AC149/D29/12</f>
        <v>0</v>
      </c>
      <c r="AD29" s="132">
        <f t="shared" si="17"/>
        <v>0</v>
      </c>
      <c r="AE29" s="130">
        <f t="shared" si="18"/>
        <v>0</v>
      </c>
      <c r="AF29" s="178">
        <f t="shared" si="19"/>
        <v>0</v>
      </c>
      <c r="AG29" s="287">
        <f t="shared" si="20"/>
        <v>0</v>
      </c>
      <c r="AH29" s="288">
        <f t="shared" si="21"/>
        <v>0</v>
      </c>
      <c r="AI29" s="289">
        <f t="shared" si="22"/>
        <v>0</v>
      </c>
      <c r="AJ29" s="287">
        <f t="shared" si="23"/>
        <v>0</v>
      </c>
      <c r="AK29" s="289">
        <f t="shared" si="24"/>
        <v>0.8404773911581779</v>
      </c>
      <c r="AL29" s="288">
        <f t="shared" si="25"/>
        <v>0.84</v>
      </c>
      <c r="AM29" s="289">
        <f t="shared" si="47"/>
        <v>14991.48</v>
      </c>
      <c r="AN29" s="289">
        <f t="shared" si="26"/>
        <v>14991</v>
      </c>
      <c r="AO29" s="218">
        <f t="shared" si="54"/>
        <v>1.0085728693898133</v>
      </c>
      <c r="AP29" s="167">
        <f t="shared" si="28"/>
        <v>1.01</v>
      </c>
      <c r="AQ29" s="218">
        <f t="shared" si="48"/>
        <v>18025.47</v>
      </c>
      <c r="AR29" s="218">
        <f t="shared" si="29"/>
        <v>18025</v>
      </c>
      <c r="AS29" s="218">
        <f t="shared" si="30"/>
        <v>0</v>
      </c>
      <c r="AT29" s="167">
        <f t="shared" si="31"/>
        <v>0</v>
      </c>
      <c r="AU29" s="218">
        <f t="shared" si="32"/>
        <v>0</v>
      </c>
      <c r="AV29" s="218">
        <f t="shared" si="33"/>
        <v>0</v>
      </c>
      <c r="AW29" s="234">
        <f>0/D29/12</f>
        <v>0</v>
      </c>
      <c r="AX29" s="167">
        <f t="shared" si="34"/>
        <v>0</v>
      </c>
      <c r="AY29" s="218">
        <f t="shared" si="49"/>
        <v>0</v>
      </c>
      <c r="AZ29" s="218">
        <f t="shared" si="35"/>
        <v>0</v>
      </c>
      <c r="BA29" s="218">
        <f t="shared" si="36"/>
        <v>0</v>
      </c>
      <c r="BB29" s="218">
        <f t="shared" si="37"/>
        <v>0</v>
      </c>
      <c r="BC29" s="218">
        <f t="shared" si="38"/>
        <v>0</v>
      </c>
      <c r="BD29" s="218">
        <f t="shared" si="39"/>
        <v>0</v>
      </c>
      <c r="BE29" s="218">
        <f t="shared" si="40"/>
        <v>0</v>
      </c>
      <c r="BF29" s="218">
        <f t="shared" si="41"/>
        <v>0</v>
      </c>
      <c r="BG29" s="218">
        <v>0</v>
      </c>
      <c r="BH29" s="218">
        <f t="shared" si="43"/>
        <v>0</v>
      </c>
      <c r="BI29" s="218">
        <v>6.89</v>
      </c>
      <c r="BJ29" s="200">
        <f t="shared" si="44"/>
        <v>6.890000000000001</v>
      </c>
      <c r="BK29" s="212">
        <f t="shared" si="50"/>
        <v>122965.83000000002</v>
      </c>
      <c r="BL29" s="212">
        <f t="shared" si="51"/>
        <v>122965.83</v>
      </c>
      <c r="BM29" s="322">
        <f t="shared" si="45"/>
        <v>122966</v>
      </c>
    </row>
    <row r="30" spans="1:65" ht="21" customHeight="1">
      <c r="A30" s="205">
        <f t="shared" si="52"/>
        <v>19</v>
      </c>
      <c r="B30" s="319" t="s">
        <v>38</v>
      </c>
      <c r="C30" s="365">
        <v>3662.9</v>
      </c>
      <c r="D30" s="313">
        <v>3662.9</v>
      </c>
      <c r="E30" s="121">
        <f>35000/D30/12</f>
        <v>0.7962725345127267</v>
      </c>
      <c r="F30" s="132">
        <f t="shared" si="0"/>
        <v>0.8</v>
      </c>
      <c r="G30" s="132">
        <f t="shared" si="1"/>
        <v>35163.840000000004</v>
      </c>
      <c r="H30" s="130">
        <f t="shared" si="2"/>
        <v>35164</v>
      </c>
      <c r="I30" s="232">
        <f>0/D30/12</f>
        <v>0</v>
      </c>
      <c r="J30" s="130">
        <f>ROUND(I30,1)</f>
        <v>0</v>
      </c>
      <c r="K30" s="130">
        <f t="shared" si="4"/>
        <v>0</v>
      </c>
      <c r="L30" s="130">
        <f t="shared" si="5"/>
        <v>0</v>
      </c>
      <c r="M30" s="232">
        <f>11000/D30/12</f>
        <v>0.25025708227542837</v>
      </c>
      <c r="N30" s="167">
        <f t="shared" si="6"/>
        <v>0.25</v>
      </c>
      <c r="O30" s="130">
        <f t="shared" si="7"/>
        <v>10988.7</v>
      </c>
      <c r="P30" s="130">
        <f t="shared" si="8"/>
        <v>10989</v>
      </c>
      <c r="Q30" s="232">
        <f>18000/D30/12</f>
        <v>0.4095115891779737</v>
      </c>
      <c r="R30" s="132">
        <f t="shared" si="46"/>
        <v>0.41</v>
      </c>
      <c r="S30" s="131">
        <f t="shared" si="9"/>
        <v>18021.468</v>
      </c>
      <c r="T30" s="131">
        <f t="shared" si="10"/>
        <v>18021</v>
      </c>
      <c r="U30" s="232">
        <f>85000/D30/12</f>
        <v>1.9338047266737648</v>
      </c>
      <c r="V30" s="132">
        <f t="shared" si="11"/>
        <v>1.93</v>
      </c>
      <c r="W30" s="121">
        <f t="shared" si="12"/>
        <v>84832.764</v>
      </c>
      <c r="X30" s="132">
        <f t="shared" si="13"/>
        <v>84833</v>
      </c>
      <c r="Y30" s="232">
        <f>65000/D30/12</f>
        <v>1.4787918498093495</v>
      </c>
      <c r="Z30" s="132">
        <f t="shared" si="14"/>
        <v>1.48</v>
      </c>
      <c r="AA30" s="132">
        <f t="shared" si="15"/>
        <v>65053.10399999999</v>
      </c>
      <c r="AB30" s="132">
        <f t="shared" si="16"/>
        <v>65053</v>
      </c>
      <c r="AC30" s="167">
        <f>25000/D30/12</f>
        <v>0.5687660960805191</v>
      </c>
      <c r="AD30" s="132">
        <f t="shared" si="17"/>
        <v>0.57</v>
      </c>
      <c r="AE30" s="130">
        <f t="shared" si="18"/>
        <v>25054.236</v>
      </c>
      <c r="AF30" s="178">
        <f t="shared" si="19"/>
        <v>25054</v>
      </c>
      <c r="AG30" s="287">
        <f t="shared" si="20"/>
        <v>0</v>
      </c>
      <c r="AH30" s="288">
        <f t="shared" si="21"/>
        <v>0</v>
      </c>
      <c r="AI30" s="289">
        <f t="shared" si="22"/>
        <v>0</v>
      </c>
      <c r="AJ30" s="287">
        <f t="shared" si="23"/>
        <v>0</v>
      </c>
      <c r="AK30" s="289">
        <f t="shared" si="24"/>
        <v>0.3412596576483114</v>
      </c>
      <c r="AL30" s="288">
        <f t="shared" si="25"/>
        <v>0.34</v>
      </c>
      <c r="AM30" s="289">
        <f t="shared" si="47"/>
        <v>14944.632000000001</v>
      </c>
      <c r="AN30" s="289">
        <f t="shared" si="26"/>
        <v>14945</v>
      </c>
      <c r="AO30" s="218">
        <f t="shared" si="54"/>
        <v>0.4095115891779737</v>
      </c>
      <c r="AP30" s="167">
        <f t="shared" si="28"/>
        <v>0.41</v>
      </c>
      <c r="AQ30" s="218">
        <f t="shared" si="48"/>
        <v>18021.468</v>
      </c>
      <c r="AR30" s="218">
        <f t="shared" si="29"/>
        <v>18021</v>
      </c>
      <c r="AS30" s="218">
        <f t="shared" si="30"/>
        <v>0</v>
      </c>
      <c r="AT30" s="167">
        <f t="shared" si="31"/>
        <v>0</v>
      </c>
      <c r="AU30" s="218">
        <f t="shared" si="32"/>
        <v>0</v>
      </c>
      <c r="AV30" s="218">
        <f t="shared" si="33"/>
        <v>0</v>
      </c>
      <c r="AW30" s="234">
        <f>15000/D30/12</f>
        <v>0.3412596576483114</v>
      </c>
      <c r="AX30" s="167">
        <f t="shared" si="34"/>
        <v>0.3412596576483114</v>
      </c>
      <c r="AY30" s="218">
        <f t="shared" si="49"/>
        <v>14999.999999999996</v>
      </c>
      <c r="AZ30" s="218">
        <f t="shared" si="35"/>
        <v>15000</v>
      </c>
      <c r="BA30" s="218">
        <f t="shared" si="36"/>
        <v>0</v>
      </c>
      <c r="BB30" s="218">
        <f t="shared" si="37"/>
        <v>0</v>
      </c>
      <c r="BC30" s="218">
        <f t="shared" si="38"/>
        <v>0</v>
      </c>
      <c r="BD30" s="218">
        <f t="shared" si="39"/>
        <v>0</v>
      </c>
      <c r="BE30" s="218">
        <f t="shared" si="40"/>
        <v>0</v>
      </c>
      <c r="BF30" s="218">
        <f t="shared" si="41"/>
        <v>0</v>
      </c>
      <c r="BG30" s="218">
        <v>0</v>
      </c>
      <c r="BH30" s="218">
        <f t="shared" si="43"/>
        <v>0</v>
      </c>
      <c r="BI30" s="218">
        <v>6.53</v>
      </c>
      <c r="BJ30" s="200">
        <f t="shared" si="44"/>
        <v>6.531259657648311</v>
      </c>
      <c r="BK30" s="212">
        <f t="shared" si="50"/>
        <v>287080.212</v>
      </c>
      <c r="BL30" s="212">
        <f t="shared" si="51"/>
        <v>287024.84400000004</v>
      </c>
      <c r="BM30" s="322">
        <f t="shared" si="45"/>
        <v>287080</v>
      </c>
    </row>
    <row r="31" spans="1:65" ht="21" customHeight="1">
      <c r="A31" s="205">
        <f t="shared" si="52"/>
        <v>20</v>
      </c>
      <c r="B31" s="319" t="s">
        <v>39</v>
      </c>
      <c r="C31" s="363">
        <v>1479.8</v>
      </c>
      <c r="D31" s="313">
        <v>1479.8</v>
      </c>
      <c r="E31" s="121">
        <f>20000/D31/12</f>
        <v>1.1262783258998963</v>
      </c>
      <c r="F31" s="132">
        <f t="shared" si="0"/>
        <v>1.13</v>
      </c>
      <c r="G31" s="132">
        <f t="shared" si="1"/>
        <v>20066.087999999996</v>
      </c>
      <c r="H31" s="130">
        <f t="shared" si="2"/>
        <v>20066</v>
      </c>
      <c r="I31" s="232">
        <f>15000/D31/12</f>
        <v>0.8447087444249224</v>
      </c>
      <c r="J31" s="130">
        <f>ROUND(I31,1)</f>
        <v>0.8</v>
      </c>
      <c r="K31" s="130">
        <f t="shared" si="4"/>
        <v>14206.079999999998</v>
      </c>
      <c r="L31" s="130">
        <f t="shared" si="5"/>
        <v>14206</v>
      </c>
      <c r="M31" s="232">
        <f>10000/D31/12</f>
        <v>0.5631391629499481</v>
      </c>
      <c r="N31" s="167">
        <f t="shared" si="6"/>
        <v>0.56</v>
      </c>
      <c r="O31" s="130">
        <f t="shared" si="7"/>
        <v>9944.256000000001</v>
      </c>
      <c r="P31" s="130">
        <f t="shared" si="8"/>
        <v>9944</v>
      </c>
      <c r="Q31" s="232">
        <f>15000/D31/12</f>
        <v>0.8447087444249224</v>
      </c>
      <c r="R31" s="132">
        <f t="shared" si="46"/>
        <v>0.84</v>
      </c>
      <c r="S31" s="131">
        <f t="shared" si="9"/>
        <v>14916.383999999998</v>
      </c>
      <c r="T31" s="131">
        <f t="shared" si="10"/>
        <v>14916</v>
      </c>
      <c r="U31" s="232">
        <f>70000/D31/12</f>
        <v>3.9419741406496374</v>
      </c>
      <c r="V31" s="132">
        <f t="shared" si="11"/>
        <v>3.94</v>
      </c>
      <c r="W31" s="121">
        <f t="shared" si="12"/>
        <v>69964.94399999999</v>
      </c>
      <c r="X31" s="132">
        <f t="shared" si="13"/>
        <v>69965</v>
      </c>
      <c r="Y31" s="232">
        <f>0/D31/12</f>
        <v>0</v>
      </c>
      <c r="Z31" s="132">
        <f t="shared" si="14"/>
        <v>0</v>
      </c>
      <c r="AA31" s="132">
        <f t="shared" si="15"/>
        <v>0</v>
      </c>
      <c r="AB31" s="132">
        <f t="shared" si="16"/>
        <v>0</v>
      </c>
      <c r="AC31" s="167">
        <f>0/D31/12</f>
        <v>0</v>
      </c>
      <c r="AD31" s="132">
        <f t="shared" si="17"/>
        <v>0</v>
      </c>
      <c r="AE31" s="130">
        <f t="shared" si="18"/>
        <v>0</v>
      </c>
      <c r="AF31" s="178">
        <f t="shared" si="19"/>
        <v>0</v>
      </c>
      <c r="AG31" s="287">
        <f t="shared" si="20"/>
        <v>0</v>
      </c>
      <c r="AH31" s="288">
        <f t="shared" si="21"/>
        <v>0</v>
      </c>
      <c r="AI31" s="289">
        <f t="shared" si="22"/>
        <v>0</v>
      </c>
      <c r="AJ31" s="287">
        <f t="shared" si="23"/>
        <v>0</v>
      </c>
      <c r="AK31" s="289">
        <f t="shared" si="24"/>
        <v>0.8447087444249224</v>
      </c>
      <c r="AL31" s="288">
        <f t="shared" si="25"/>
        <v>0.84</v>
      </c>
      <c r="AM31" s="289">
        <f t="shared" si="47"/>
        <v>14916.383999999998</v>
      </c>
      <c r="AN31" s="289">
        <f t="shared" si="26"/>
        <v>14916</v>
      </c>
      <c r="AO31" s="218">
        <f t="shared" si="54"/>
        <v>1.0136504933099066</v>
      </c>
      <c r="AP31" s="167">
        <f t="shared" si="28"/>
        <v>1.01</v>
      </c>
      <c r="AQ31" s="218">
        <f t="shared" si="48"/>
        <v>17935.176</v>
      </c>
      <c r="AR31" s="218">
        <f t="shared" si="29"/>
        <v>17935</v>
      </c>
      <c r="AS31" s="218">
        <f>6000/D31/12</f>
        <v>0.33788349776996895</v>
      </c>
      <c r="AT31" s="167">
        <f t="shared" si="31"/>
        <v>0.34</v>
      </c>
      <c r="AU31" s="218">
        <f t="shared" si="32"/>
        <v>6000.000000000001</v>
      </c>
      <c r="AV31" s="218">
        <f t="shared" si="33"/>
        <v>6000</v>
      </c>
      <c r="AW31" s="234">
        <f>0/D31/12</f>
        <v>0</v>
      </c>
      <c r="AX31" s="167">
        <f t="shared" si="34"/>
        <v>0</v>
      </c>
      <c r="AY31" s="218">
        <f t="shared" si="49"/>
        <v>0</v>
      </c>
      <c r="AZ31" s="218">
        <f t="shared" si="35"/>
        <v>0</v>
      </c>
      <c r="BA31" s="218">
        <f t="shared" si="36"/>
        <v>0</v>
      </c>
      <c r="BB31" s="218">
        <f t="shared" si="37"/>
        <v>0</v>
      </c>
      <c r="BC31" s="218">
        <f t="shared" si="38"/>
        <v>0</v>
      </c>
      <c r="BD31" s="218">
        <f t="shared" si="39"/>
        <v>0</v>
      </c>
      <c r="BE31" s="218">
        <f t="shared" si="40"/>
        <v>0</v>
      </c>
      <c r="BF31" s="218">
        <f t="shared" si="41"/>
        <v>0</v>
      </c>
      <c r="BG31" s="218">
        <v>0</v>
      </c>
      <c r="BH31" s="218">
        <f t="shared" si="43"/>
        <v>0</v>
      </c>
      <c r="BI31" s="218">
        <v>8.02</v>
      </c>
      <c r="BJ31" s="200">
        <f t="shared" si="44"/>
        <v>9.46</v>
      </c>
      <c r="BK31" s="212">
        <f t="shared" si="50"/>
        <v>167949.31199999998</v>
      </c>
      <c r="BL31" s="212">
        <f t="shared" si="51"/>
        <v>142415.952</v>
      </c>
      <c r="BM31" s="322">
        <f t="shared" si="45"/>
        <v>167949</v>
      </c>
    </row>
    <row r="32" spans="1:65" ht="21" customHeight="1">
      <c r="A32" s="205">
        <f t="shared" si="52"/>
        <v>21</v>
      </c>
      <c r="B32" s="319" t="s">
        <v>40</v>
      </c>
      <c r="C32" s="363">
        <v>3351.4</v>
      </c>
      <c r="D32" s="313">
        <v>3351.4</v>
      </c>
      <c r="E32" s="121">
        <f>35000/D32/12</f>
        <v>0.8702830657834536</v>
      </c>
      <c r="F32" s="132">
        <f t="shared" si="0"/>
        <v>0.87</v>
      </c>
      <c r="G32" s="132">
        <f t="shared" si="1"/>
        <v>34988.615999999995</v>
      </c>
      <c r="H32" s="130">
        <f t="shared" si="2"/>
        <v>34989</v>
      </c>
      <c r="I32" s="232">
        <f>0/D32/12</f>
        <v>0</v>
      </c>
      <c r="J32" s="130">
        <f>ROUND(I32,1)</f>
        <v>0</v>
      </c>
      <c r="K32" s="130">
        <f t="shared" si="4"/>
        <v>0</v>
      </c>
      <c r="L32" s="130">
        <f t="shared" si="5"/>
        <v>0</v>
      </c>
      <c r="M32" s="232">
        <f>0/D32/12</f>
        <v>0</v>
      </c>
      <c r="N32" s="167">
        <f t="shared" si="6"/>
        <v>0</v>
      </c>
      <c r="O32" s="130">
        <f t="shared" si="7"/>
        <v>0</v>
      </c>
      <c r="P32" s="130">
        <f t="shared" si="8"/>
        <v>0</v>
      </c>
      <c r="Q32" s="232">
        <f t="shared" si="53"/>
        <v>0</v>
      </c>
      <c r="R32" s="132">
        <f t="shared" si="46"/>
        <v>0</v>
      </c>
      <c r="S32" s="131">
        <f t="shared" si="9"/>
        <v>0</v>
      </c>
      <c r="T32" s="131">
        <f t="shared" si="10"/>
        <v>0</v>
      </c>
      <c r="U32" s="232">
        <f>0/D32/12</f>
        <v>0</v>
      </c>
      <c r="V32" s="132">
        <f t="shared" si="11"/>
        <v>0</v>
      </c>
      <c r="W32" s="121">
        <f t="shared" si="12"/>
        <v>0</v>
      </c>
      <c r="X32" s="132">
        <f t="shared" si="13"/>
        <v>0</v>
      </c>
      <c r="Y32" s="232">
        <f>0/D32/12</f>
        <v>0</v>
      </c>
      <c r="Z32" s="132">
        <f t="shared" si="14"/>
        <v>0</v>
      </c>
      <c r="AA32" s="132">
        <f t="shared" si="15"/>
        <v>0</v>
      </c>
      <c r="AB32" s="132">
        <f t="shared" si="16"/>
        <v>0</v>
      </c>
      <c r="AC32" s="167">
        <f>0/D32/12</f>
        <v>0</v>
      </c>
      <c r="AD32" s="132">
        <f t="shared" si="17"/>
        <v>0</v>
      </c>
      <c r="AE32" s="130">
        <f t="shared" si="18"/>
        <v>0</v>
      </c>
      <c r="AF32" s="178">
        <f t="shared" si="19"/>
        <v>0</v>
      </c>
      <c r="AG32" s="287">
        <f t="shared" si="20"/>
        <v>0</v>
      </c>
      <c r="AH32" s="288">
        <f t="shared" si="21"/>
        <v>0</v>
      </c>
      <c r="AI32" s="289">
        <f t="shared" si="22"/>
        <v>0</v>
      </c>
      <c r="AJ32" s="287">
        <f t="shared" si="23"/>
        <v>0</v>
      </c>
      <c r="AK32" s="289">
        <f t="shared" si="24"/>
        <v>0.3729784567643373</v>
      </c>
      <c r="AL32" s="288">
        <f t="shared" si="25"/>
        <v>0.37</v>
      </c>
      <c r="AM32" s="289">
        <f t="shared" si="47"/>
        <v>14880.216</v>
      </c>
      <c r="AN32" s="289">
        <f t="shared" si="26"/>
        <v>14880</v>
      </c>
      <c r="AO32" s="218">
        <f t="shared" si="54"/>
        <v>0.4475741481172047</v>
      </c>
      <c r="AP32" s="167">
        <f t="shared" si="28"/>
        <v>0.45</v>
      </c>
      <c r="AQ32" s="218">
        <f t="shared" si="48"/>
        <v>18097.56</v>
      </c>
      <c r="AR32" s="218">
        <f t="shared" si="29"/>
        <v>18098</v>
      </c>
      <c r="AS32" s="218">
        <f t="shared" si="30"/>
        <v>0</v>
      </c>
      <c r="AT32" s="167">
        <f t="shared" si="31"/>
        <v>0</v>
      </c>
      <c r="AU32" s="218">
        <f t="shared" si="32"/>
        <v>0</v>
      </c>
      <c r="AV32" s="218">
        <f t="shared" si="33"/>
        <v>0</v>
      </c>
      <c r="AW32" s="234">
        <f>30000/D32/12</f>
        <v>0.7459569135286745</v>
      </c>
      <c r="AX32" s="167">
        <f t="shared" si="34"/>
        <v>0.7459569135286745</v>
      </c>
      <c r="AY32" s="218">
        <f t="shared" si="49"/>
        <v>30000</v>
      </c>
      <c r="AZ32" s="218">
        <f t="shared" si="35"/>
        <v>30000</v>
      </c>
      <c r="BA32" s="218">
        <f>135000/D32/12</f>
        <v>3.356806110879036</v>
      </c>
      <c r="BB32" s="218">
        <f t="shared" si="37"/>
        <v>3.36</v>
      </c>
      <c r="BC32" s="218">
        <f t="shared" si="38"/>
        <v>135128.448</v>
      </c>
      <c r="BD32" s="218">
        <f t="shared" si="39"/>
        <v>135128</v>
      </c>
      <c r="BE32" s="218">
        <f>12000/D32/12</f>
        <v>0.29838276541146985</v>
      </c>
      <c r="BF32" s="218">
        <f t="shared" si="41"/>
        <v>0.3</v>
      </c>
      <c r="BG32" s="218">
        <f>BE32*D32*12</f>
        <v>12000.000000000002</v>
      </c>
      <c r="BH32" s="218">
        <f t="shared" si="43"/>
        <v>12000</v>
      </c>
      <c r="BI32" s="218">
        <v>6.1</v>
      </c>
      <c r="BJ32" s="200">
        <f t="shared" si="44"/>
        <v>6.095956913528675</v>
      </c>
      <c r="BK32" s="212">
        <f t="shared" si="50"/>
        <v>245094.84</v>
      </c>
      <c r="BL32" s="212">
        <f t="shared" si="51"/>
        <v>245322.48</v>
      </c>
      <c r="BM32" s="322">
        <f t="shared" si="45"/>
        <v>245095</v>
      </c>
    </row>
    <row r="33" spans="1:65" ht="21" customHeight="1">
      <c r="A33" s="205">
        <f t="shared" si="52"/>
        <v>22</v>
      </c>
      <c r="B33" s="319" t="s">
        <v>41</v>
      </c>
      <c r="C33" s="363">
        <v>3672.5</v>
      </c>
      <c r="D33" s="313">
        <v>3804.8</v>
      </c>
      <c r="E33" s="121">
        <f>35000/D33/12</f>
        <v>0.7665755536865713</v>
      </c>
      <c r="F33" s="132">
        <f t="shared" si="0"/>
        <v>0.77</v>
      </c>
      <c r="G33" s="132">
        <f t="shared" si="1"/>
        <v>35156.352000000006</v>
      </c>
      <c r="H33" s="130">
        <f t="shared" si="2"/>
        <v>35156</v>
      </c>
      <c r="I33" s="232">
        <f>25000/D33/12</f>
        <v>0.5475539669189795</v>
      </c>
      <c r="J33" s="132">
        <f>ROUND(I33,2)</f>
        <v>0.55</v>
      </c>
      <c r="K33" s="130">
        <f t="shared" si="4"/>
        <v>25111.680000000004</v>
      </c>
      <c r="L33" s="130">
        <f t="shared" si="5"/>
        <v>25112</v>
      </c>
      <c r="M33" s="232">
        <f>0/D33/12</f>
        <v>0</v>
      </c>
      <c r="N33" s="167">
        <f t="shared" si="6"/>
        <v>0</v>
      </c>
      <c r="O33" s="130">
        <f t="shared" si="7"/>
        <v>0</v>
      </c>
      <c r="P33" s="130">
        <f t="shared" si="8"/>
        <v>0</v>
      </c>
      <c r="Q33" s="232">
        <f t="shared" si="53"/>
        <v>0</v>
      </c>
      <c r="R33" s="132">
        <f t="shared" si="46"/>
        <v>0</v>
      </c>
      <c r="S33" s="131">
        <f t="shared" si="9"/>
        <v>0</v>
      </c>
      <c r="T33" s="131">
        <f t="shared" si="10"/>
        <v>0</v>
      </c>
      <c r="U33" s="232">
        <f>0/D33/12</f>
        <v>0</v>
      </c>
      <c r="V33" s="132">
        <f t="shared" si="11"/>
        <v>0</v>
      </c>
      <c r="W33" s="121">
        <f t="shared" si="12"/>
        <v>0</v>
      </c>
      <c r="X33" s="132">
        <f t="shared" si="13"/>
        <v>0</v>
      </c>
      <c r="Y33" s="232">
        <f>150000/D33/12</f>
        <v>3.285323801513877</v>
      </c>
      <c r="Z33" s="132">
        <f t="shared" si="14"/>
        <v>3.29</v>
      </c>
      <c r="AA33" s="132">
        <f t="shared" si="15"/>
        <v>150213.50400000002</v>
      </c>
      <c r="AB33" s="132">
        <f t="shared" si="16"/>
        <v>150214</v>
      </c>
      <c r="AC33" s="167">
        <f>0/D33/12</f>
        <v>0</v>
      </c>
      <c r="AD33" s="132">
        <f t="shared" si="17"/>
        <v>0</v>
      </c>
      <c r="AE33" s="130">
        <f t="shared" si="18"/>
        <v>0</v>
      </c>
      <c r="AF33" s="178">
        <f t="shared" si="19"/>
        <v>0</v>
      </c>
      <c r="AG33" s="287">
        <f t="shared" si="20"/>
        <v>0</v>
      </c>
      <c r="AH33" s="288">
        <f t="shared" si="21"/>
        <v>0</v>
      </c>
      <c r="AI33" s="289">
        <f t="shared" si="22"/>
        <v>0</v>
      </c>
      <c r="AJ33" s="287">
        <f t="shared" si="23"/>
        <v>0</v>
      </c>
      <c r="AK33" s="289">
        <f t="shared" si="24"/>
        <v>0.3285323801513877</v>
      </c>
      <c r="AL33" s="288">
        <f t="shared" si="25"/>
        <v>0.33</v>
      </c>
      <c r="AM33" s="289">
        <f t="shared" si="47"/>
        <v>15067.008000000002</v>
      </c>
      <c r="AN33" s="289">
        <f t="shared" si="26"/>
        <v>15067</v>
      </c>
      <c r="AO33" s="218">
        <f t="shared" si="54"/>
        <v>0.3942388561816652</v>
      </c>
      <c r="AP33" s="167">
        <f t="shared" si="28"/>
        <v>0.39</v>
      </c>
      <c r="AQ33" s="218">
        <f t="shared" si="48"/>
        <v>17806.464</v>
      </c>
      <c r="AR33" s="218">
        <f t="shared" si="29"/>
        <v>17806</v>
      </c>
      <c r="AS33" s="218">
        <f>6000/D33/12</f>
        <v>0.1314129520605551</v>
      </c>
      <c r="AT33" s="167">
        <f t="shared" si="31"/>
        <v>0.13</v>
      </c>
      <c r="AU33" s="218">
        <f t="shared" si="32"/>
        <v>6000</v>
      </c>
      <c r="AV33" s="218">
        <f t="shared" si="33"/>
        <v>6000</v>
      </c>
      <c r="AW33" s="234">
        <f>20000/D33/12</f>
        <v>0.43804317353518357</v>
      </c>
      <c r="AX33" s="167">
        <f t="shared" si="34"/>
        <v>0.43804317353518357</v>
      </c>
      <c r="AY33" s="218">
        <f t="shared" si="49"/>
        <v>20000</v>
      </c>
      <c r="AZ33" s="218">
        <f t="shared" si="35"/>
        <v>20000</v>
      </c>
      <c r="BA33" s="218">
        <f>0/D33/12</f>
        <v>0</v>
      </c>
      <c r="BB33" s="218">
        <f t="shared" si="37"/>
        <v>0</v>
      </c>
      <c r="BC33" s="218">
        <f t="shared" si="38"/>
        <v>0</v>
      </c>
      <c r="BD33" s="218">
        <f t="shared" si="39"/>
        <v>0</v>
      </c>
      <c r="BE33" s="218">
        <f t="shared" si="40"/>
        <v>0</v>
      </c>
      <c r="BF33" s="218">
        <f t="shared" si="41"/>
        <v>0</v>
      </c>
      <c r="BG33" s="218">
        <v>0</v>
      </c>
      <c r="BH33" s="218">
        <f t="shared" si="43"/>
        <v>0</v>
      </c>
      <c r="BI33" s="218">
        <v>5.9</v>
      </c>
      <c r="BJ33" s="200">
        <f>E33+J33+Z33+AL33+AS33+AX33</f>
        <v>5.5060316792823105</v>
      </c>
      <c r="BK33" s="212">
        <f t="shared" si="50"/>
        <v>269355.00800000003</v>
      </c>
      <c r="BL33" s="212">
        <f t="shared" si="51"/>
        <v>260013</v>
      </c>
      <c r="BM33" s="322">
        <f t="shared" si="45"/>
        <v>269355</v>
      </c>
    </row>
    <row r="34" spans="1:65" ht="21" customHeight="1">
      <c r="A34" s="205">
        <f t="shared" si="52"/>
        <v>23</v>
      </c>
      <c r="B34" s="319" t="s">
        <v>42</v>
      </c>
      <c r="C34" s="363">
        <v>3321.63</v>
      </c>
      <c r="D34" s="313">
        <v>3321.63</v>
      </c>
      <c r="E34" s="121">
        <f>25000/D34/12</f>
        <v>0.6272021065962594</v>
      </c>
      <c r="F34" s="132">
        <f t="shared" si="0"/>
        <v>0.63</v>
      </c>
      <c r="G34" s="132">
        <f t="shared" si="1"/>
        <v>25111.522800000002</v>
      </c>
      <c r="H34" s="130">
        <f t="shared" si="2"/>
        <v>25112</v>
      </c>
      <c r="I34" s="232">
        <v>0</v>
      </c>
      <c r="J34" s="132">
        <f>I34+ROUND(0,0)</f>
        <v>0</v>
      </c>
      <c r="K34" s="130">
        <f t="shared" si="4"/>
        <v>0</v>
      </c>
      <c r="L34" s="130">
        <f t="shared" si="5"/>
        <v>0</v>
      </c>
      <c r="M34" s="232">
        <f>10000/D34/12</f>
        <v>0.2508808426385038</v>
      </c>
      <c r="N34" s="167">
        <f t="shared" si="6"/>
        <v>0.25</v>
      </c>
      <c r="O34" s="130">
        <f t="shared" si="7"/>
        <v>9964.89</v>
      </c>
      <c r="P34" s="130">
        <f t="shared" si="8"/>
        <v>9965</v>
      </c>
      <c r="Q34" s="232">
        <f t="shared" si="53"/>
        <v>0</v>
      </c>
      <c r="R34" s="132">
        <f t="shared" si="46"/>
        <v>0</v>
      </c>
      <c r="S34" s="131">
        <f t="shared" si="9"/>
        <v>0</v>
      </c>
      <c r="T34" s="131">
        <f t="shared" si="10"/>
        <v>0</v>
      </c>
      <c r="U34" s="232">
        <f>67000/D34/12</f>
        <v>1.6809016456779753</v>
      </c>
      <c r="V34" s="132">
        <f t="shared" si="11"/>
        <v>1.68</v>
      </c>
      <c r="W34" s="121">
        <f t="shared" si="12"/>
        <v>66964.06079999999</v>
      </c>
      <c r="X34" s="132">
        <f t="shared" si="13"/>
        <v>66964</v>
      </c>
      <c r="Y34" s="232">
        <f>65000/D34/12</f>
        <v>1.6307254771502746</v>
      </c>
      <c r="Z34" s="132">
        <f t="shared" si="14"/>
        <v>1.63</v>
      </c>
      <c r="AA34" s="132">
        <f t="shared" si="15"/>
        <v>64971.08279999999</v>
      </c>
      <c r="AB34" s="132">
        <f t="shared" si="16"/>
        <v>64971</v>
      </c>
      <c r="AC34" s="167">
        <f>23000/D34/12</f>
        <v>0.5770259380685586</v>
      </c>
      <c r="AD34" s="132">
        <f t="shared" si="17"/>
        <v>0.58</v>
      </c>
      <c r="AE34" s="130">
        <f t="shared" si="18"/>
        <v>23118.5448</v>
      </c>
      <c r="AF34" s="178">
        <f t="shared" si="19"/>
        <v>23119</v>
      </c>
      <c r="AG34" s="287">
        <f t="shared" si="20"/>
        <v>0</v>
      </c>
      <c r="AH34" s="288">
        <f t="shared" si="21"/>
        <v>0</v>
      </c>
      <c r="AI34" s="289">
        <f t="shared" si="22"/>
        <v>0</v>
      </c>
      <c r="AJ34" s="287">
        <f t="shared" si="23"/>
        <v>0</v>
      </c>
      <c r="AK34" s="289">
        <f t="shared" si="24"/>
        <v>0.3763212639577556</v>
      </c>
      <c r="AL34" s="288">
        <f t="shared" si="25"/>
        <v>0.38</v>
      </c>
      <c r="AM34" s="289">
        <f t="shared" si="47"/>
        <v>15146.6328</v>
      </c>
      <c r="AN34" s="289">
        <f t="shared" si="26"/>
        <v>15147</v>
      </c>
      <c r="AO34" s="218">
        <f t="shared" si="54"/>
        <v>0.4515855167493068</v>
      </c>
      <c r="AP34" s="167">
        <f t="shared" si="28"/>
        <v>0.45</v>
      </c>
      <c r="AQ34" s="218">
        <f t="shared" si="48"/>
        <v>17936.802</v>
      </c>
      <c r="AR34" s="218">
        <f t="shared" si="29"/>
        <v>17937</v>
      </c>
      <c r="AS34" s="218">
        <f t="shared" si="30"/>
        <v>0</v>
      </c>
      <c r="AT34" s="167">
        <f t="shared" si="31"/>
        <v>0</v>
      </c>
      <c r="AU34" s="218">
        <f t="shared" si="32"/>
        <v>0</v>
      </c>
      <c r="AV34" s="218">
        <f t="shared" si="33"/>
        <v>0</v>
      </c>
      <c r="AW34" s="234">
        <f>15000/D34/12</f>
        <v>0.3763212639577556</v>
      </c>
      <c r="AX34" s="167">
        <f t="shared" si="34"/>
        <v>0.3763212639577556</v>
      </c>
      <c r="AY34" s="218">
        <f t="shared" si="49"/>
        <v>14999.999999999996</v>
      </c>
      <c r="AZ34" s="218">
        <f t="shared" si="35"/>
        <v>15000</v>
      </c>
      <c r="BA34" s="218">
        <f t="shared" si="36"/>
        <v>0</v>
      </c>
      <c r="BB34" s="218">
        <f t="shared" si="37"/>
        <v>0</v>
      </c>
      <c r="BC34" s="218">
        <f t="shared" si="38"/>
        <v>0</v>
      </c>
      <c r="BD34" s="218">
        <f t="shared" si="39"/>
        <v>0</v>
      </c>
      <c r="BE34" s="218">
        <f>12000/D34/12</f>
        <v>0.30105701116620454</v>
      </c>
      <c r="BF34" s="218">
        <f t="shared" si="41"/>
        <v>0.3</v>
      </c>
      <c r="BG34" s="218">
        <f>BE34*D34*12</f>
        <v>12000</v>
      </c>
      <c r="BH34" s="218">
        <f t="shared" si="43"/>
        <v>12000</v>
      </c>
      <c r="BI34" s="218">
        <v>6.29</v>
      </c>
      <c r="BJ34" s="200">
        <f t="shared" si="44"/>
        <v>6.2763212639577555</v>
      </c>
      <c r="BK34" s="212">
        <f t="shared" si="50"/>
        <v>250213.536</v>
      </c>
      <c r="BL34" s="212">
        <f t="shared" si="51"/>
        <v>250716.6324</v>
      </c>
      <c r="BM34" s="322">
        <f t="shared" si="45"/>
        <v>250214</v>
      </c>
    </row>
    <row r="35" spans="1:65" ht="21" customHeight="1">
      <c r="A35" s="205">
        <v>24</v>
      </c>
      <c r="B35" s="321" t="s">
        <v>140</v>
      </c>
      <c r="C35" s="364">
        <v>1782</v>
      </c>
      <c r="D35" s="325">
        <v>1782</v>
      </c>
      <c r="E35" s="121">
        <f>30000/D35/12</f>
        <v>1.402918069584736</v>
      </c>
      <c r="F35" s="132">
        <f t="shared" si="0"/>
        <v>1.4</v>
      </c>
      <c r="G35" s="132">
        <f>F35*D35*12</f>
        <v>29937.6</v>
      </c>
      <c r="H35" s="130">
        <f t="shared" si="2"/>
        <v>29938</v>
      </c>
      <c r="I35" s="232">
        <v>0</v>
      </c>
      <c r="J35" s="132">
        <f>I35+ROUND(0,0)</f>
        <v>0</v>
      </c>
      <c r="K35" s="130">
        <f>J35*D35*12</f>
        <v>0</v>
      </c>
      <c r="L35" s="130">
        <f t="shared" si="5"/>
        <v>0</v>
      </c>
      <c r="M35" s="232">
        <f>0/D35/12</f>
        <v>0</v>
      </c>
      <c r="N35" s="167">
        <f t="shared" si="6"/>
        <v>0</v>
      </c>
      <c r="O35" s="130">
        <f>N35*D35*12</f>
        <v>0</v>
      </c>
      <c r="P35" s="130">
        <f t="shared" si="8"/>
        <v>0</v>
      </c>
      <c r="Q35" s="232">
        <f>0/D35/12</f>
        <v>0</v>
      </c>
      <c r="R35" s="132">
        <f t="shared" si="46"/>
        <v>0</v>
      </c>
      <c r="S35" s="131">
        <f>R35*D35*12</f>
        <v>0</v>
      </c>
      <c r="T35" s="131">
        <f t="shared" si="10"/>
        <v>0</v>
      </c>
      <c r="U35" s="232">
        <f>0/D35/12</f>
        <v>0</v>
      </c>
      <c r="V35" s="132">
        <f t="shared" si="11"/>
        <v>0</v>
      </c>
      <c r="W35" s="121">
        <f>V35*D35*12</f>
        <v>0</v>
      </c>
      <c r="X35" s="132">
        <f t="shared" si="13"/>
        <v>0</v>
      </c>
      <c r="Y35" s="232">
        <f>60000/D35/12</f>
        <v>2.805836139169472</v>
      </c>
      <c r="Z35" s="132">
        <f t="shared" si="14"/>
        <v>2.81</v>
      </c>
      <c r="AA35" s="132">
        <f>Z35*D35*12</f>
        <v>60089.04</v>
      </c>
      <c r="AB35" s="132">
        <f t="shared" si="16"/>
        <v>60089</v>
      </c>
      <c r="AC35" s="167">
        <f>28000/D35/12</f>
        <v>1.3093901982790872</v>
      </c>
      <c r="AD35" s="132">
        <f t="shared" si="17"/>
        <v>1.31</v>
      </c>
      <c r="AE35" s="130">
        <f>AD35*D35*12</f>
        <v>28013.04</v>
      </c>
      <c r="AF35" s="178">
        <f t="shared" si="19"/>
        <v>28013</v>
      </c>
      <c r="AG35" s="287">
        <f>0/D35/12</f>
        <v>0</v>
      </c>
      <c r="AH35" s="288">
        <f t="shared" si="21"/>
        <v>0</v>
      </c>
      <c r="AI35" s="289">
        <f>AH35*D35*12</f>
        <v>0</v>
      </c>
      <c r="AJ35" s="287">
        <f t="shared" si="23"/>
        <v>0</v>
      </c>
      <c r="AK35" s="289">
        <f>15000/D35/12</f>
        <v>0.701459034792368</v>
      </c>
      <c r="AL35" s="288">
        <f t="shared" si="25"/>
        <v>0.7</v>
      </c>
      <c r="AM35" s="289">
        <f>AL35*D35*12</f>
        <v>14968.8</v>
      </c>
      <c r="AN35" s="289">
        <f t="shared" si="26"/>
        <v>14969</v>
      </c>
      <c r="AO35" s="218">
        <f>0/D35/12</f>
        <v>0</v>
      </c>
      <c r="AP35" s="167">
        <f t="shared" si="28"/>
        <v>0</v>
      </c>
      <c r="AQ35" s="218">
        <f>AP35*D35*12</f>
        <v>0</v>
      </c>
      <c r="AR35" s="218">
        <f t="shared" si="29"/>
        <v>0</v>
      </c>
      <c r="AS35" s="218">
        <f>0/D35/12</f>
        <v>0</v>
      </c>
      <c r="AT35" s="167">
        <f t="shared" si="31"/>
        <v>0</v>
      </c>
      <c r="AU35" s="218">
        <f>AS35*D35*12</f>
        <v>0</v>
      </c>
      <c r="AV35" s="218">
        <f t="shared" si="33"/>
        <v>0</v>
      </c>
      <c r="AW35" s="234">
        <f>10000/D35/12</f>
        <v>0.46763935652824545</v>
      </c>
      <c r="AX35" s="167">
        <f t="shared" si="34"/>
        <v>0.46763935652824545</v>
      </c>
      <c r="AY35" s="218">
        <f>AX35*D35*12</f>
        <v>10000</v>
      </c>
      <c r="AZ35" s="218">
        <f t="shared" si="35"/>
        <v>10000</v>
      </c>
      <c r="BA35" s="218">
        <f>0/D35/12</f>
        <v>0</v>
      </c>
      <c r="BB35" s="218">
        <f t="shared" si="37"/>
        <v>0</v>
      </c>
      <c r="BC35" s="218">
        <f>BB35*D35*12</f>
        <v>0</v>
      </c>
      <c r="BD35" s="218">
        <f t="shared" si="39"/>
        <v>0</v>
      </c>
      <c r="BE35" s="218">
        <f>6500/D35/12</f>
        <v>0.3039655817433595</v>
      </c>
      <c r="BF35" s="218">
        <f t="shared" si="41"/>
        <v>0.3</v>
      </c>
      <c r="BG35" s="218">
        <f>BE35*D35*12</f>
        <v>6500</v>
      </c>
      <c r="BH35" s="218">
        <f t="shared" si="43"/>
        <v>6500</v>
      </c>
      <c r="BI35" s="218">
        <v>0</v>
      </c>
      <c r="BJ35" s="200">
        <f>BF35+BB35+AX35+AT35+AP35+AL35+AD35+Z35+V35+R35+N35+J35+F35</f>
        <v>6.987639356528245</v>
      </c>
      <c r="BK35" s="212">
        <f t="shared" si="50"/>
        <v>149508.47999999998</v>
      </c>
      <c r="BL35" s="212">
        <f t="shared" si="51"/>
        <v>0</v>
      </c>
      <c r="BM35" s="322">
        <f t="shared" si="45"/>
        <v>149508</v>
      </c>
    </row>
    <row r="36" spans="1:65" ht="21" customHeight="1">
      <c r="A36" s="205">
        <v>25</v>
      </c>
      <c r="B36" s="321" t="s">
        <v>117</v>
      </c>
      <c r="C36" s="364">
        <v>6722.5</v>
      </c>
      <c r="D36" s="325">
        <v>6722.5</v>
      </c>
      <c r="E36" s="296"/>
      <c r="F36" s="132">
        <f t="shared" si="0"/>
        <v>0</v>
      </c>
      <c r="G36" s="132">
        <f>F36*D36*12</f>
        <v>0</v>
      </c>
      <c r="H36" s="130">
        <f t="shared" si="2"/>
        <v>0</v>
      </c>
      <c r="I36" s="232">
        <v>0</v>
      </c>
      <c r="J36" s="132">
        <f>I36+ROUND(0,0)</f>
        <v>0</v>
      </c>
      <c r="K36" s="130">
        <f>J36*D36*12</f>
        <v>0</v>
      </c>
      <c r="L36" s="130">
        <f t="shared" si="5"/>
        <v>0</v>
      </c>
      <c r="M36" s="232">
        <f>0/D36/12</f>
        <v>0</v>
      </c>
      <c r="N36" s="167">
        <f t="shared" si="6"/>
        <v>0</v>
      </c>
      <c r="O36" s="130">
        <f t="shared" si="7"/>
        <v>0</v>
      </c>
      <c r="P36" s="130">
        <f t="shared" si="8"/>
        <v>0</v>
      </c>
      <c r="Q36" s="232">
        <f t="shared" si="53"/>
        <v>0</v>
      </c>
      <c r="R36" s="132">
        <f t="shared" si="46"/>
        <v>0</v>
      </c>
      <c r="S36" s="131">
        <f t="shared" si="9"/>
        <v>0</v>
      </c>
      <c r="T36" s="131">
        <f t="shared" si="10"/>
        <v>0</v>
      </c>
      <c r="U36" s="232">
        <f>0/D36/12</f>
        <v>0</v>
      </c>
      <c r="V36" s="132">
        <f t="shared" si="11"/>
        <v>0</v>
      </c>
      <c r="W36" s="121">
        <f t="shared" si="12"/>
        <v>0</v>
      </c>
      <c r="X36" s="132">
        <f t="shared" si="13"/>
        <v>0</v>
      </c>
      <c r="Y36" s="299">
        <f>0/D36/12</f>
        <v>0</v>
      </c>
      <c r="Z36" s="297">
        <f t="shared" si="14"/>
        <v>0</v>
      </c>
      <c r="AA36" s="297">
        <f t="shared" si="15"/>
        <v>0</v>
      </c>
      <c r="AB36" s="297">
        <f t="shared" si="16"/>
        <v>0</v>
      </c>
      <c r="AC36" s="167">
        <f>0/D36/12</f>
        <v>0</v>
      </c>
      <c r="AD36" s="297">
        <f t="shared" si="17"/>
        <v>0</v>
      </c>
      <c r="AE36" s="298">
        <f t="shared" si="18"/>
        <v>0</v>
      </c>
      <c r="AF36" s="303">
        <f t="shared" si="19"/>
        <v>0</v>
      </c>
      <c r="AG36" s="287">
        <f>0/D36/12</f>
        <v>0</v>
      </c>
      <c r="AH36" s="288">
        <f t="shared" si="21"/>
        <v>0</v>
      </c>
      <c r="AI36" s="289">
        <f>AH36*D36*12</f>
        <v>0</v>
      </c>
      <c r="AJ36" s="287">
        <f t="shared" si="23"/>
        <v>0</v>
      </c>
      <c r="AK36" s="306">
        <f>20000/D36/12</f>
        <v>0.24792363951902815</v>
      </c>
      <c r="AL36" s="305">
        <f t="shared" si="25"/>
        <v>0.25</v>
      </c>
      <c r="AM36" s="306">
        <f t="shared" si="47"/>
        <v>20167.5</v>
      </c>
      <c r="AN36" s="306">
        <f t="shared" si="26"/>
        <v>20168</v>
      </c>
      <c r="AO36" s="218">
        <f>29000/D36/12</f>
        <v>0.35948927730259084</v>
      </c>
      <c r="AP36" s="300">
        <f t="shared" si="28"/>
        <v>0.36</v>
      </c>
      <c r="AQ36" s="307">
        <f t="shared" si="48"/>
        <v>29041.199999999997</v>
      </c>
      <c r="AR36" s="307">
        <f t="shared" si="29"/>
        <v>29041</v>
      </c>
      <c r="AS36" s="307">
        <f>0/D36/12</f>
        <v>0</v>
      </c>
      <c r="AT36" s="300">
        <f t="shared" si="31"/>
        <v>0</v>
      </c>
      <c r="AU36" s="218">
        <f t="shared" si="32"/>
        <v>0</v>
      </c>
      <c r="AV36" s="307">
        <f t="shared" si="33"/>
        <v>0</v>
      </c>
      <c r="AW36" s="234">
        <f>35000/D36/12</f>
        <v>0.4338663691582993</v>
      </c>
      <c r="AX36" s="167">
        <f t="shared" si="34"/>
        <v>0.4338663691582993</v>
      </c>
      <c r="AY36" s="218">
        <f t="shared" si="49"/>
        <v>35000</v>
      </c>
      <c r="AZ36" s="307">
        <f t="shared" si="35"/>
        <v>35000</v>
      </c>
      <c r="BA36" s="218">
        <f t="shared" si="36"/>
        <v>0</v>
      </c>
      <c r="BB36" s="307">
        <f t="shared" si="37"/>
        <v>0</v>
      </c>
      <c r="BC36" s="307">
        <f t="shared" si="38"/>
        <v>0</v>
      </c>
      <c r="BD36" s="307">
        <f t="shared" si="39"/>
        <v>0</v>
      </c>
      <c r="BE36" s="218">
        <f>0/D36/12</f>
        <v>0</v>
      </c>
      <c r="BF36" s="218">
        <f t="shared" si="41"/>
        <v>0</v>
      </c>
      <c r="BG36" s="218">
        <v>0</v>
      </c>
      <c r="BH36" s="218">
        <f t="shared" si="43"/>
        <v>0</v>
      </c>
      <c r="BI36" s="218">
        <v>1.05</v>
      </c>
      <c r="BJ36" s="200">
        <f t="shared" si="44"/>
        <v>1.0438663691582992</v>
      </c>
      <c r="BK36" s="212">
        <f t="shared" si="50"/>
        <v>84208.7</v>
      </c>
      <c r="BL36" s="212">
        <f t="shared" si="51"/>
        <v>84703.5</v>
      </c>
      <c r="BM36" s="322">
        <f t="shared" si="45"/>
        <v>84209</v>
      </c>
    </row>
    <row r="37" spans="1:65" ht="21" customHeight="1">
      <c r="A37" s="182"/>
      <c r="B37" s="182"/>
      <c r="C37" s="235">
        <f>SUM(C12:C36)</f>
        <v>81642.66</v>
      </c>
      <c r="D37" s="183"/>
      <c r="E37" s="230"/>
      <c r="F37" s="231"/>
      <c r="G37" s="181">
        <f>SUM(G12:G34)</f>
        <v>610202.5068000001</v>
      </c>
      <c r="H37" s="181">
        <f>SUM(H12:H36)</f>
        <v>640141</v>
      </c>
      <c r="I37" s="208"/>
      <c r="J37" s="181"/>
      <c r="K37" s="181">
        <f>SUM(K12:K34)</f>
        <v>164363.04479999997</v>
      </c>
      <c r="L37" s="181">
        <f>SUM(L12:L36)</f>
        <v>164363</v>
      </c>
      <c r="M37" s="183"/>
      <c r="N37" s="209"/>
      <c r="O37" s="181">
        <f>SUM(O12:O36)</f>
        <v>93608.5476</v>
      </c>
      <c r="P37" s="181">
        <f>SUM(P12:P36)</f>
        <v>93609</v>
      </c>
      <c r="Q37" s="208"/>
      <c r="R37" s="208"/>
      <c r="S37" s="208">
        <f>SUM(S12:S36)</f>
        <v>167809.05599999998</v>
      </c>
      <c r="T37" s="181">
        <f>SUM(T12:T36)</f>
        <v>167809</v>
      </c>
      <c r="U37" s="208"/>
      <c r="V37" s="210"/>
      <c r="W37" s="183">
        <f>SUM(W12:W36)</f>
        <v>1090193.1888000001</v>
      </c>
      <c r="X37" s="181">
        <f>SUM(X12:X36)</f>
        <v>1090194</v>
      </c>
      <c r="Y37" s="208"/>
      <c r="Z37" s="208"/>
      <c r="AA37" s="181">
        <f>SUM(AA12:AA36)</f>
        <v>1541620.6692</v>
      </c>
      <c r="AB37" s="181">
        <f>SUM(AB12:AB36)</f>
        <v>1541622</v>
      </c>
      <c r="AC37" s="163"/>
      <c r="AD37" s="182"/>
      <c r="AE37" s="208">
        <f>SUM(AE12:AE36)</f>
        <v>570230.0112000001</v>
      </c>
      <c r="AF37" s="181">
        <f>SUM(AF12:AF36)</f>
        <v>570232</v>
      </c>
      <c r="AG37" s="182"/>
      <c r="AH37" s="182"/>
      <c r="AI37" s="235">
        <f>SUM(AI12:AI34)</f>
        <v>0</v>
      </c>
      <c r="AJ37" s="182">
        <f>SUM(AJ12:AJ34)</f>
        <v>0</v>
      </c>
      <c r="AK37" s="182"/>
      <c r="AL37" s="182"/>
      <c r="AM37" s="235">
        <f>SUM(AM12:AM36)</f>
        <v>375117.06</v>
      </c>
      <c r="AN37" s="181">
        <f>SUM(AN12:AN36)</f>
        <v>375116</v>
      </c>
      <c r="AO37" s="182"/>
      <c r="AP37" s="182"/>
      <c r="AQ37" s="235">
        <f>SUM(AQ12:AQ36)</f>
        <v>154949.076</v>
      </c>
      <c r="AR37" s="181">
        <f>SUM(AR12:AR36)</f>
        <v>154948</v>
      </c>
      <c r="AS37" s="182"/>
      <c r="AT37" s="182"/>
      <c r="AU37" s="235">
        <f>SUM(AU12:AU36)</f>
        <v>54000</v>
      </c>
      <c r="AV37" s="181">
        <f>SUM(AV12:AV36)</f>
        <v>54000</v>
      </c>
      <c r="AW37" s="182"/>
      <c r="AX37" s="182"/>
      <c r="AY37" s="235">
        <f>SUM(AY12:AY36)</f>
        <v>360000</v>
      </c>
      <c r="AZ37" s="181">
        <f>SUM(AZ12:AZ36)</f>
        <v>360000</v>
      </c>
      <c r="BA37" s="235"/>
      <c r="BB37" s="235"/>
      <c r="BC37" s="235">
        <f>SUM(BC12:BC36)</f>
        <v>658875.1691999999</v>
      </c>
      <c r="BD37" s="181">
        <f>SUM(BD12:BD36)</f>
        <v>658874</v>
      </c>
      <c r="BE37" s="235"/>
      <c r="BF37" s="235"/>
      <c r="BG37" s="235">
        <f>SUM(BG12:BG36)</f>
        <v>61000.00000000001</v>
      </c>
      <c r="BH37" s="235"/>
      <c r="BI37" s="235"/>
      <c r="BJ37" s="235"/>
      <c r="BK37" s="258">
        <f>SUM(BK12:BK36)</f>
        <v>5931905.929599999</v>
      </c>
      <c r="BL37" s="258">
        <f>SUM(BL12:BL36)</f>
        <v>5675914.381200001</v>
      </c>
      <c r="BM37" s="282">
        <f>SUM(BM12:BM36)</f>
        <v>5931907</v>
      </c>
    </row>
    <row r="38" spans="1:65" ht="21" customHeight="1">
      <c r="A38" s="180"/>
      <c r="B38" s="180"/>
      <c r="C38" s="180"/>
      <c r="D38" s="165">
        <f>SUM(D12:D37)</f>
        <v>82759.86000000002</v>
      </c>
      <c r="E38" s="165"/>
      <c r="F38" s="179"/>
      <c r="G38" s="179"/>
      <c r="H38" s="179"/>
      <c r="I38" s="184"/>
      <c r="J38" s="179"/>
      <c r="K38" s="179"/>
      <c r="L38" s="179"/>
      <c r="M38" s="165"/>
      <c r="N38" s="203"/>
      <c r="O38" s="179"/>
      <c r="P38" s="179"/>
      <c r="Q38" s="184"/>
      <c r="R38" s="184"/>
      <c r="S38" s="184"/>
      <c r="T38" s="184"/>
      <c r="U38" s="184"/>
      <c r="V38" s="204"/>
      <c r="W38" s="184"/>
      <c r="X38" s="179"/>
      <c r="Y38" s="184"/>
      <c r="Z38" s="184"/>
      <c r="AA38" s="179"/>
      <c r="AB38" s="179"/>
      <c r="AC38" s="180"/>
      <c r="AD38" s="180"/>
      <c r="AE38" s="184"/>
      <c r="AF38" s="184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4"/>
      <c r="BL38" s="184"/>
      <c r="BM38" s="282"/>
    </row>
    <row r="39" spans="22:65" ht="12.75">
      <c r="V39" s="237"/>
      <c r="W39" s="237"/>
      <c r="X39" s="237"/>
      <c r="Y39" s="237"/>
      <c r="Z39" s="237"/>
      <c r="BJ39" s="237"/>
      <c r="BK39" s="214"/>
      <c r="BL39" s="214"/>
      <c r="BM39" s="214"/>
    </row>
    <row r="40" spans="1:65" ht="12.75">
      <c r="A40" s="405"/>
      <c r="B40" s="406"/>
      <c r="C40" s="406"/>
      <c r="D40" s="406"/>
      <c r="BK40" s="214"/>
      <c r="BL40" s="214"/>
      <c r="BM40" s="214"/>
    </row>
    <row r="41" spans="1:65" ht="12.75">
      <c r="A41" s="406"/>
      <c r="B41" s="406"/>
      <c r="C41" s="406"/>
      <c r="D41" s="406"/>
      <c r="BK41" s="214"/>
      <c r="BL41" s="214"/>
      <c r="BM41" s="214"/>
    </row>
    <row r="42" spans="63:65" ht="12.75">
      <c r="BK42" s="214"/>
      <c r="BL42" s="214"/>
      <c r="BM42" s="214"/>
    </row>
    <row r="43" spans="63:65" ht="12.75">
      <c r="BK43" s="214"/>
      <c r="BL43" s="214"/>
      <c r="BM43" s="214"/>
    </row>
    <row r="44" spans="1:65" ht="12.75">
      <c r="A44" s="397" t="s">
        <v>106</v>
      </c>
      <c r="B44" s="398"/>
      <c r="C44" s="398"/>
      <c r="D44" s="398"/>
      <c r="BK44" s="214"/>
      <c r="BL44" s="214"/>
      <c r="BM44" s="214"/>
    </row>
    <row r="45" spans="1:65" ht="12.75">
      <c r="A45" s="398"/>
      <c r="B45" s="398"/>
      <c r="C45" s="398"/>
      <c r="D45" s="398"/>
      <c r="F45" s="211"/>
      <c r="BK45" s="214"/>
      <c r="BL45" s="214"/>
      <c r="BM45" s="214"/>
    </row>
    <row r="46" spans="63:65" ht="12.75">
      <c r="BK46" s="214"/>
      <c r="BL46" s="214"/>
      <c r="BM46" s="214"/>
    </row>
    <row r="53" spans="1:64" ht="15.75">
      <c r="A53" s="294">
        <v>25</v>
      </c>
      <c r="B53" s="354" t="s">
        <v>137</v>
      </c>
      <c r="C53" s="354"/>
      <c r="D53" s="297">
        <v>1782</v>
      </c>
      <c r="E53" s="121">
        <f>30000/D53/12</f>
        <v>1.402918069584736</v>
      </c>
      <c r="F53" s="132">
        <f>ROUND(E53,2)</f>
        <v>1.4</v>
      </c>
      <c r="G53" s="132">
        <f>F53*D53*12</f>
        <v>29937.6</v>
      </c>
      <c r="H53" s="130">
        <f>ROUND(G53,0)</f>
        <v>29938</v>
      </c>
      <c r="I53" s="232">
        <f>0/D53/12</f>
        <v>0</v>
      </c>
      <c r="J53" s="132">
        <f>ROUND(I53,1)</f>
        <v>0</v>
      </c>
      <c r="K53" s="130">
        <f>J53*D53*12</f>
        <v>0</v>
      </c>
      <c r="L53" s="130">
        <f>ROUND(K53,0)</f>
        <v>0</v>
      </c>
      <c r="M53" s="232">
        <f>0/D53/12</f>
        <v>0</v>
      </c>
      <c r="N53" s="167">
        <f>ROUND(M53,2)</f>
        <v>0</v>
      </c>
      <c r="O53" s="130">
        <f>N53*D53*12</f>
        <v>0</v>
      </c>
      <c r="P53" s="130">
        <f>ROUND(O53,0)</f>
        <v>0</v>
      </c>
      <c r="Q53" s="232">
        <f>0/D53/12</f>
        <v>0</v>
      </c>
      <c r="R53" s="132">
        <f>ROUND(Q53,2)</f>
        <v>0</v>
      </c>
      <c r="S53" s="131">
        <f>R53*D53*12</f>
        <v>0</v>
      </c>
      <c r="T53" s="131">
        <f>ROUND(S53,0)</f>
        <v>0</v>
      </c>
      <c r="U53" s="232">
        <f>0/D53/12</f>
        <v>0</v>
      </c>
      <c r="V53" s="132">
        <f>ROUND(U53,2)</f>
        <v>0</v>
      </c>
      <c r="W53" s="121">
        <f>V53*D53*12</f>
        <v>0</v>
      </c>
      <c r="X53" s="132">
        <f>ROUND(W53,0)</f>
        <v>0</v>
      </c>
      <c r="Y53" s="232">
        <f>60000/D53/12</f>
        <v>2.805836139169472</v>
      </c>
      <c r="Z53" s="132">
        <f>ROUND(Y53,2)</f>
        <v>2.81</v>
      </c>
      <c r="AA53" s="132">
        <f>Z53*D53*12</f>
        <v>60089.04</v>
      </c>
      <c r="AB53" s="132">
        <f>ROUND(AA53,0)</f>
        <v>60089</v>
      </c>
      <c r="AC53" s="232">
        <f>28000/D53/12</f>
        <v>1.3093901982790872</v>
      </c>
      <c r="AD53" s="132">
        <f>ROUND(AC53,2)</f>
        <v>1.31</v>
      </c>
      <c r="AE53" s="132">
        <f>AC53*D53*12</f>
        <v>28000</v>
      </c>
      <c r="AF53" s="132">
        <f>AC53*D53*12</f>
        <v>28000</v>
      </c>
      <c r="AG53" s="167">
        <f>0/D53/12</f>
        <v>0</v>
      </c>
      <c r="AH53" s="132">
        <f>ROUND(AG53,2)</f>
        <v>0</v>
      </c>
      <c r="AI53" s="130">
        <f>AH53*D53*12</f>
        <v>0</v>
      </c>
      <c r="AJ53" s="178">
        <f>ROUND(AI53,0)</f>
        <v>0</v>
      </c>
      <c r="AK53" s="287">
        <f>0/D53/12</f>
        <v>0</v>
      </c>
      <c r="AL53" s="288">
        <f>ROUND(AK53,2)</f>
        <v>0</v>
      </c>
      <c r="AM53" s="289">
        <f>AL53*D53*12</f>
        <v>0</v>
      </c>
      <c r="AN53" s="289">
        <f>ROUND(AM53,0)</f>
        <v>0</v>
      </c>
      <c r="AO53" s="289">
        <f>15000/D53/12</f>
        <v>0.701459034792368</v>
      </c>
      <c r="AP53" s="288">
        <f>ROUND(AO53,2)</f>
        <v>0.7</v>
      </c>
      <c r="AQ53" s="289">
        <f>AP53*D53*12</f>
        <v>14968.8</v>
      </c>
      <c r="AR53" s="289">
        <f>ROUND(AQ53,0)</f>
        <v>14969</v>
      </c>
      <c r="AS53" s="218">
        <f>6500/D53/12</f>
        <v>0.3039655817433595</v>
      </c>
      <c r="AT53" s="167">
        <f>ROUND(AS53,2)</f>
        <v>0.3</v>
      </c>
      <c r="AU53" s="218">
        <f>AT53*D53*12</f>
        <v>6415.200000000001</v>
      </c>
      <c r="AV53" s="218">
        <f>ROUND(AU53,0)</f>
        <v>6415</v>
      </c>
      <c r="AW53" s="218">
        <f>10000/D53/12</f>
        <v>0.46763935652824545</v>
      </c>
      <c r="AX53" s="167">
        <f>ROUND(AW53,2)</f>
        <v>0.47</v>
      </c>
      <c r="AY53" s="218">
        <f>AX53*D53*12</f>
        <v>10050.48</v>
      </c>
      <c r="AZ53" s="218">
        <f>ROUND(AY53,0)</f>
        <v>10050</v>
      </c>
      <c r="BA53" s="218">
        <f>0/D53/12</f>
        <v>0</v>
      </c>
      <c r="BB53" s="218">
        <f>ROUND(BA53,2)</f>
        <v>0</v>
      </c>
      <c r="BC53" s="218">
        <f>BB53*D53*12</f>
        <v>0</v>
      </c>
      <c r="BD53" s="218">
        <f>ROUND(BC53,0)</f>
        <v>0</v>
      </c>
      <c r="BE53" s="218">
        <f>0/D53/12</f>
        <v>0</v>
      </c>
      <c r="BF53" s="218">
        <f>ROUND(BE53,2)</f>
        <v>0</v>
      </c>
      <c r="BG53" s="218">
        <f>BE53*D53*12</f>
        <v>0</v>
      </c>
      <c r="BH53" s="218">
        <f>ROUND(BG53,0)</f>
        <v>0</v>
      </c>
      <c r="BI53" s="218"/>
      <c r="BJ53" s="328">
        <f>F53+J53+N53+R53+V53+Z53+AD53+AH53+AL53+AP53+AT53+AX53+BB53+BF53</f>
        <v>6.989999999999999</v>
      </c>
      <c r="BK53" s="326">
        <f>H53+L53+P53+T53+X53+AB53+AF53+AJ53+AN53+AR53+AV53+AZ53+BD53+BH53</f>
        <v>149461</v>
      </c>
      <c r="BL53" s="366"/>
    </row>
  </sheetData>
  <mergeCells count="10">
    <mergeCell ref="A40:D41"/>
    <mergeCell ref="A44:D45"/>
    <mergeCell ref="A5:B5"/>
    <mergeCell ref="A7:BK7"/>
    <mergeCell ref="A8:BK8"/>
    <mergeCell ref="A9:A11"/>
    <mergeCell ref="B9:B11"/>
    <mergeCell ref="D9:D11"/>
    <mergeCell ref="E9:BK9"/>
    <mergeCell ref="C9:C11"/>
  </mergeCells>
  <printOptions/>
  <pageMargins left="0.16" right="0.2" top="0.22" bottom="0.15" header="0.11" footer="0.19"/>
  <pageSetup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J52"/>
  <sheetViews>
    <sheetView view="pageBreakPreview" zoomScaleSheetLayoutView="100" workbookViewId="0" topLeftCell="A1">
      <pane xSplit="4" ySplit="14" topLeftCell="AW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B17" sqref="BB17"/>
    </sheetView>
  </sheetViews>
  <sheetFormatPr defaultColWidth="9.140625" defaultRowHeight="12.75"/>
  <cols>
    <col min="1" max="1" width="3.140625" style="0" customWidth="1"/>
    <col min="2" max="2" width="19.00390625" style="0" customWidth="1"/>
    <col min="4" max="4" width="0" style="0" hidden="1" customWidth="1"/>
    <col min="7" max="8" width="0" style="0" hidden="1" customWidth="1"/>
    <col min="11" max="12" width="9.140625" style="0" hidden="1" customWidth="1"/>
    <col min="15" max="16" width="0" style="0" hidden="1" customWidth="1"/>
    <col min="19" max="20" width="0" style="0" hidden="1" customWidth="1"/>
    <col min="23" max="24" width="9.140625" style="0" hidden="1" customWidth="1"/>
    <col min="27" max="28" width="0" style="0" hidden="1" customWidth="1"/>
    <col min="29" max="29" width="8.140625" style="0" customWidth="1"/>
    <col min="30" max="30" width="7.8515625" style="0" customWidth="1"/>
    <col min="31" max="36" width="9.140625" style="0" hidden="1" customWidth="1"/>
    <col min="37" max="38" width="9.28125" style="0" bestFit="1" customWidth="1"/>
    <col min="39" max="40" width="0" style="0" hidden="1" customWidth="1"/>
    <col min="41" max="42" width="9.28125" style="0" bestFit="1" customWidth="1"/>
    <col min="43" max="44" width="9.140625" style="0" hidden="1" customWidth="1"/>
    <col min="45" max="45" width="7.140625" style="0" customWidth="1"/>
    <col min="46" max="46" width="8.57421875" style="0" customWidth="1"/>
    <col min="47" max="48" width="0" style="0" hidden="1" customWidth="1"/>
    <col min="49" max="49" width="7.57421875" style="0" customWidth="1"/>
    <col min="50" max="50" width="8.140625" style="0" customWidth="1"/>
    <col min="51" max="52" width="9.140625" style="0" hidden="1" customWidth="1"/>
    <col min="53" max="53" width="8.57421875" style="0" customWidth="1"/>
    <col min="54" max="54" width="9.00390625" style="0" customWidth="1"/>
    <col min="55" max="56" width="9.140625" style="0" hidden="1" customWidth="1"/>
    <col min="57" max="57" width="7.421875" style="0" customWidth="1"/>
    <col min="58" max="58" width="8.7109375" style="0" customWidth="1"/>
    <col min="59" max="59" width="0.2890625" style="0" hidden="1" customWidth="1"/>
    <col min="60" max="60" width="8.00390625" style="0" customWidth="1"/>
    <col min="61" max="61" width="11.00390625" style="0" customWidth="1"/>
    <col min="62" max="62" width="15.00390625" style="0" customWidth="1"/>
  </cols>
  <sheetData>
    <row r="3" spans="1:61" ht="12.75">
      <c r="A3" s="133" t="s">
        <v>81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73"/>
      <c r="N3" s="133"/>
      <c r="O3" s="133"/>
      <c r="P3" s="133"/>
      <c r="Q3" s="133"/>
      <c r="R3" s="133"/>
      <c r="S3" s="133"/>
      <c r="T3" s="133"/>
      <c r="U3" s="175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</row>
    <row r="4" spans="1:61" ht="12.75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73"/>
      <c r="N4" s="133"/>
      <c r="O4" s="133"/>
      <c r="P4" s="133"/>
      <c r="Q4" s="133"/>
      <c r="R4" s="133"/>
      <c r="S4" s="133"/>
      <c r="T4" s="133"/>
      <c r="U4" s="17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</row>
    <row r="5" spans="1:61" ht="12.75">
      <c r="A5" s="399" t="s">
        <v>111</v>
      </c>
      <c r="B5" s="39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73"/>
      <c r="N5" s="133"/>
      <c r="O5" s="133"/>
      <c r="P5" s="133"/>
      <c r="Q5" s="133"/>
      <c r="R5" s="133"/>
      <c r="S5" s="133"/>
      <c r="T5" s="133"/>
      <c r="U5" s="175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</row>
    <row r="6" spans="1:61" ht="12.75">
      <c r="A6" s="274"/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  <c r="N6" s="275"/>
      <c r="O6" s="275"/>
      <c r="P6" s="275"/>
      <c r="Q6" s="275"/>
      <c r="R6" s="275"/>
      <c r="S6" s="275"/>
      <c r="T6" s="275"/>
      <c r="U6" s="277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</row>
    <row r="7" spans="1:61" ht="12.75">
      <c r="A7" s="274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6"/>
      <c r="N7" s="275"/>
      <c r="O7" s="275"/>
      <c r="P7" s="275"/>
      <c r="Q7" s="275"/>
      <c r="R7" s="275"/>
      <c r="S7" s="275"/>
      <c r="T7" s="275"/>
      <c r="U7" s="277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</row>
    <row r="8" spans="1:61" ht="14.25">
      <c r="A8" s="400" t="s">
        <v>124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</row>
    <row r="9" spans="1:61" ht="14.25">
      <c r="A9" s="400" t="s">
        <v>125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</row>
    <row r="10" spans="1:61" ht="14.2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</row>
    <row r="11" spans="1:61" ht="14.2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</row>
    <row r="12" spans="1:62" ht="12.75">
      <c r="A12" s="401" t="s">
        <v>1</v>
      </c>
      <c r="B12" s="401" t="s">
        <v>2</v>
      </c>
      <c r="C12" s="401" t="s">
        <v>63</v>
      </c>
      <c r="D12" s="402" t="s">
        <v>7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4"/>
      <c r="BJ12" s="213"/>
    </row>
    <row r="13" spans="1:62" ht="134.25">
      <c r="A13" s="401"/>
      <c r="B13" s="401"/>
      <c r="C13" s="401"/>
      <c r="D13" s="309" t="s">
        <v>8</v>
      </c>
      <c r="E13" s="264" t="s">
        <v>8</v>
      </c>
      <c r="F13" s="134" t="s">
        <v>72</v>
      </c>
      <c r="G13" s="134" t="s">
        <v>72</v>
      </c>
      <c r="H13" s="308" t="s">
        <v>90</v>
      </c>
      <c r="I13" s="267" t="s">
        <v>90</v>
      </c>
      <c r="J13" s="134" t="s">
        <v>72</v>
      </c>
      <c r="K13" s="134" t="s">
        <v>72</v>
      </c>
      <c r="L13" s="308" t="s">
        <v>11</v>
      </c>
      <c r="M13" s="266" t="s">
        <v>11</v>
      </c>
      <c r="N13" s="134" t="s">
        <v>72</v>
      </c>
      <c r="O13" s="134" t="s">
        <v>72</v>
      </c>
      <c r="P13" s="308" t="s">
        <v>12</v>
      </c>
      <c r="Q13" s="272" t="s">
        <v>12</v>
      </c>
      <c r="R13" s="134" t="s">
        <v>72</v>
      </c>
      <c r="S13" s="134" t="s">
        <v>72</v>
      </c>
      <c r="T13" s="308" t="s">
        <v>13</v>
      </c>
      <c r="U13" s="265" t="s">
        <v>13</v>
      </c>
      <c r="V13" s="135" t="s">
        <v>72</v>
      </c>
      <c r="W13" s="135" t="s">
        <v>72</v>
      </c>
      <c r="X13" s="310" t="s">
        <v>14</v>
      </c>
      <c r="Y13" s="273" t="s">
        <v>14</v>
      </c>
      <c r="Z13" s="134" t="s">
        <v>72</v>
      </c>
      <c r="AA13" s="134" t="s">
        <v>72</v>
      </c>
      <c r="AB13" s="236" t="s">
        <v>92</v>
      </c>
      <c r="AC13" s="317" t="s">
        <v>92</v>
      </c>
      <c r="AD13" s="134" t="s">
        <v>72</v>
      </c>
      <c r="AE13" s="176" t="s">
        <v>72</v>
      </c>
      <c r="AF13" s="220" t="s">
        <v>94</v>
      </c>
      <c r="AG13" s="233" t="str">
        <f>AF13</f>
        <v>Измерение сопротивления изоляции</v>
      </c>
      <c r="AH13" s="134" t="s">
        <v>72</v>
      </c>
      <c r="AI13" s="134" t="s">
        <v>72</v>
      </c>
      <c r="AJ13" s="311" t="s">
        <v>93</v>
      </c>
      <c r="AK13" s="317" t="str">
        <f>AJ13</f>
        <v>замена и приобретение приборов учета</v>
      </c>
      <c r="AL13" s="134" t="s">
        <v>72</v>
      </c>
      <c r="AM13" s="134" t="s">
        <v>72</v>
      </c>
      <c r="AN13" s="220" t="s">
        <v>121</v>
      </c>
      <c r="AO13" s="317" t="str">
        <f>AN13</f>
        <v>поверка приборов учета АИТП</v>
      </c>
      <c r="AP13" s="134" t="s">
        <v>72</v>
      </c>
      <c r="AQ13" s="134" t="s">
        <v>72</v>
      </c>
      <c r="AR13" s="317" t="s">
        <v>119</v>
      </c>
      <c r="AS13" s="317" t="s">
        <v>119</v>
      </c>
      <c r="AT13" s="318" t="s">
        <v>72</v>
      </c>
      <c r="AU13" s="292" t="s">
        <v>72</v>
      </c>
      <c r="AV13" s="134" t="s">
        <v>123</v>
      </c>
      <c r="AW13" s="134" t="s">
        <v>123</v>
      </c>
      <c r="AX13" s="318" t="s">
        <v>72</v>
      </c>
      <c r="AY13" s="292" t="s">
        <v>72</v>
      </c>
      <c r="AZ13" s="134" t="s">
        <v>116</v>
      </c>
      <c r="BA13" s="134" t="s">
        <v>116</v>
      </c>
      <c r="BB13" s="134" t="s">
        <v>72</v>
      </c>
      <c r="BC13" s="134" t="s">
        <v>72</v>
      </c>
      <c r="BD13" s="293" t="s">
        <v>114</v>
      </c>
      <c r="BE13" s="318" t="s">
        <v>114</v>
      </c>
      <c r="BF13" s="318" t="s">
        <v>115</v>
      </c>
      <c r="BG13" s="293" t="s">
        <v>115</v>
      </c>
      <c r="BH13" s="312" t="s">
        <v>89</v>
      </c>
      <c r="BI13" s="134" t="s">
        <v>72</v>
      </c>
      <c r="BJ13" s="134" t="s">
        <v>72</v>
      </c>
    </row>
    <row r="14" spans="1:62" ht="45.75">
      <c r="A14" s="401"/>
      <c r="B14" s="401"/>
      <c r="C14" s="401"/>
      <c r="D14" s="172" t="s">
        <v>15</v>
      </c>
      <c r="E14" s="134" t="s">
        <v>15</v>
      </c>
      <c r="F14" s="134" t="s">
        <v>84</v>
      </c>
      <c r="G14" s="134" t="s">
        <v>84</v>
      </c>
      <c r="H14" s="125"/>
      <c r="I14" s="261" t="s">
        <v>15</v>
      </c>
      <c r="J14" s="134" t="s">
        <v>84</v>
      </c>
      <c r="K14" s="134" t="s">
        <v>84</v>
      </c>
      <c r="L14" s="125"/>
      <c r="M14" s="262" t="s">
        <v>15</v>
      </c>
      <c r="N14" s="134" t="s">
        <v>84</v>
      </c>
      <c r="O14" s="134" t="s">
        <v>84</v>
      </c>
      <c r="P14" s="125"/>
      <c r="Q14" s="262" t="s">
        <v>15</v>
      </c>
      <c r="R14" s="134" t="s">
        <v>84</v>
      </c>
      <c r="S14" s="134" t="s">
        <v>84</v>
      </c>
      <c r="T14" s="125"/>
      <c r="U14" s="263" t="s">
        <v>15</v>
      </c>
      <c r="V14" s="134" t="s">
        <v>84</v>
      </c>
      <c r="W14" s="134" t="s">
        <v>84</v>
      </c>
      <c r="X14" s="125"/>
      <c r="Y14" s="262" t="s">
        <v>15</v>
      </c>
      <c r="Z14" s="134" t="s">
        <v>15</v>
      </c>
      <c r="AA14" s="134" t="s">
        <v>84</v>
      </c>
      <c r="AB14" s="166" t="s">
        <v>15</v>
      </c>
      <c r="AC14" s="268" t="s">
        <v>15</v>
      </c>
      <c r="AD14" s="164" t="s">
        <v>84</v>
      </c>
      <c r="AE14" s="177" t="s">
        <v>84</v>
      </c>
      <c r="AF14" s="168" t="s">
        <v>15</v>
      </c>
      <c r="AG14" s="260" t="s">
        <v>15</v>
      </c>
      <c r="AH14" s="164" t="s">
        <v>84</v>
      </c>
      <c r="AI14" s="164" t="s">
        <v>84</v>
      </c>
      <c r="AJ14" s="168" t="s">
        <v>15</v>
      </c>
      <c r="AK14" s="260" t="s">
        <v>15</v>
      </c>
      <c r="AL14" s="164" t="s">
        <v>84</v>
      </c>
      <c r="AM14" s="164" t="s">
        <v>84</v>
      </c>
      <c r="AN14" s="168" t="s">
        <v>15</v>
      </c>
      <c r="AO14" s="260" t="s">
        <v>15</v>
      </c>
      <c r="AP14" s="164" t="s">
        <v>84</v>
      </c>
      <c r="AQ14" s="164" t="s">
        <v>84</v>
      </c>
      <c r="AR14" s="260" t="s">
        <v>15</v>
      </c>
      <c r="AS14" s="260" t="s">
        <v>15</v>
      </c>
      <c r="AT14" s="164" t="s">
        <v>84</v>
      </c>
      <c r="AU14" s="164" t="s">
        <v>84</v>
      </c>
      <c r="AV14" s="260"/>
      <c r="AW14" s="260"/>
      <c r="AX14" s="164" t="s">
        <v>84</v>
      </c>
      <c r="AY14" s="164" t="s">
        <v>84</v>
      </c>
      <c r="AZ14" s="260" t="s">
        <v>15</v>
      </c>
      <c r="BA14" s="260" t="s">
        <v>15</v>
      </c>
      <c r="BB14" s="164" t="s">
        <v>84</v>
      </c>
      <c r="BC14" s="164" t="s">
        <v>84</v>
      </c>
      <c r="BD14" s="164"/>
      <c r="BE14" s="164"/>
      <c r="BF14" s="164"/>
      <c r="BG14" s="164"/>
      <c r="BH14" s="260" t="s">
        <v>15</v>
      </c>
      <c r="BI14" s="177" t="s">
        <v>84</v>
      </c>
      <c r="BJ14" s="164" t="s">
        <v>84</v>
      </c>
    </row>
    <row r="15" spans="1:62" ht="18" customHeight="1">
      <c r="A15" s="205">
        <v>1</v>
      </c>
      <c r="B15" s="319" t="s">
        <v>16</v>
      </c>
      <c r="C15" s="313">
        <v>1776.2</v>
      </c>
      <c r="D15" s="121">
        <f>20000/C15/12</f>
        <v>0.9383327703336711</v>
      </c>
      <c r="E15" s="132">
        <f>ROUND(D15,2)</f>
        <v>0.94</v>
      </c>
      <c r="F15" s="132">
        <f>E15*C15*12</f>
        <v>20035.536</v>
      </c>
      <c r="G15" s="130">
        <f aca="true" t="shared" si="0" ref="G15:G39">ROUND(F15,0)</f>
        <v>20036</v>
      </c>
      <c r="H15" s="232">
        <f>0/C15/12</f>
        <v>0</v>
      </c>
      <c r="I15" s="132">
        <f aca="true" t="shared" si="1" ref="I15:I32">ROUND(H15,2)</f>
        <v>0</v>
      </c>
      <c r="J15" s="130">
        <f aca="true" t="shared" si="2" ref="J15:J39">I15*C15*12</f>
        <v>0</v>
      </c>
      <c r="K15" s="130">
        <f>ROUND(J15,0)</f>
        <v>0</v>
      </c>
      <c r="L15" s="232">
        <f aca="true" t="shared" si="3" ref="L15:L40">0/C15/12</f>
        <v>0</v>
      </c>
      <c r="M15" s="167">
        <f>ROUND(L15,2)</f>
        <v>0</v>
      </c>
      <c r="N15" s="130">
        <f aca="true" t="shared" si="4" ref="N15:N40">M15*C15*12</f>
        <v>0</v>
      </c>
      <c r="O15" s="130">
        <f>ROUND(N15,0)</f>
        <v>0</v>
      </c>
      <c r="P15" s="232">
        <f>0/C15/12</f>
        <v>0</v>
      </c>
      <c r="Q15" s="132">
        <f>ROUND(P15,1)</f>
        <v>0</v>
      </c>
      <c r="R15" s="131">
        <f aca="true" t="shared" si="5" ref="R15:R40">Q15*C15*12</f>
        <v>0</v>
      </c>
      <c r="S15" s="131">
        <f>ROUND(R15,0)</f>
        <v>0</v>
      </c>
      <c r="T15" s="232">
        <f>0/C15/12</f>
        <v>0</v>
      </c>
      <c r="U15" s="132">
        <f aca="true" t="shared" si="6" ref="U15:U40">ROUND(T15,2)</f>
        <v>0</v>
      </c>
      <c r="V15" s="121">
        <f aca="true" t="shared" si="7" ref="V15:V40">U15*C15*12</f>
        <v>0</v>
      </c>
      <c r="W15" s="132">
        <f>ROUND(V15,0)</f>
        <v>0</v>
      </c>
      <c r="X15" s="232">
        <f>U16/C15/12</f>
        <v>0</v>
      </c>
      <c r="Y15" s="132">
        <v>5.48</v>
      </c>
      <c r="Z15" s="132">
        <f>Y15*C15*8</f>
        <v>77868.60800000001</v>
      </c>
      <c r="AA15" s="132">
        <f>ROUND(Z15,0)</f>
        <v>77869</v>
      </c>
      <c r="AB15" s="167">
        <f>0/C15/12</f>
        <v>0</v>
      </c>
      <c r="AC15" s="132">
        <f>ROUND(AB15,2)</f>
        <v>0</v>
      </c>
      <c r="AD15" s="130">
        <f aca="true" t="shared" si="8" ref="AD15:AD40">AC15*C15*12</f>
        <v>0</v>
      </c>
      <c r="AE15" s="178">
        <f>ROUND(AD15,0)</f>
        <v>0</v>
      </c>
      <c r="AF15" s="287">
        <f>0/C15/12</f>
        <v>0</v>
      </c>
      <c r="AG15" s="288">
        <f>ROUND(AF15,2)</f>
        <v>0</v>
      </c>
      <c r="AH15" s="289">
        <f>AG15*C15*12</f>
        <v>0</v>
      </c>
      <c r="AI15" s="289">
        <f>ROUND(AH15,0)</f>
        <v>0</v>
      </c>
      <c r="AJ15" s="289">
        <f>15000/C15/12</f>
        <v>0.7037495777502533</v>
      </c>
      <c r="AK15" s="288">
        <f>ROUND(AJ15,2)</f>
        <v>0.7</v>
      </c>
      <c r="AL15" s="289">
        <f>AK15*C15*12</f>
        <v>14920.079999999998</v>
      </c>
      <c r="AM15" s="289">
        <f>ROUND(AL15,0)</f>
        <v>14920</v>
      </c>
      <c r="AN15" s="218">
        <f>0/C15/12</f>
        <v>0</v>
      </c>
      <c r="AO15" s="167">
        <f>ROUND(AN15,2)</f>
        <v>0</v>
      </c>
      <c r="AP15" s="218">
        <f>AO15*C15*12</f>
        <v>0</v>
      </c>
      <c r="AQ15" s="218">
        <f>ROUND(AP15,0)</f>
        <v>0</v>
      </c>
      <c r="AR15" s="218">
        <f>0/C15/12</f>
        <v>0</v>
      </c>
      <c r="AS15" s="167">
        <f>ROUND(AR15,2)</f>
        <v>0</v>
      </c>
      <c r="AT15" s="218">
        <f>AR15*C15*12</f>
        <v>0</v>
      </c>
      <c r="AU15" s="218">
        <f aca="true" t="shared" si="9" ref="AU15:AU40">ROUND(AT15,0)</f>
        <v>0</v>
      </c>
      <c r="AV15" s="167">
        <f>0/C15/12</f>
        <v>0</v>
      </c>
      <c r="AW15" s="167">
        <f>AV15+ROUND(0,0)</f>
        <v>0</v>
      </c>
      <c r="AX15" s="218">
        <f>AS15*C15*12</f>
        <v>0</v>
      </c>
      <c r="AY15" s="218">
        <f aca="true" t="shared" si="10" ref="AY15:AY40">ROUND(AX15,0)</f>
        <v>0</v>
      </c>
      <c r="AZ15" s="218">
        <f>0/C15/12</f>
        <v>0</v>
      </c>
      <c r="BA15" s="218">
        <f>ROUND(AZ15,2)</f>
        <v>0</v>
      </c>
      <c r="BB15" s="218">
        <f>BA15*C15*12</f>
        <v>0</v>
      </c>
      <c r="BC15" s="218">
        <f>ROUND(BB15,0)</f>
        <v>0</v>
      </c>
      <c r="BD15" s="218">
        <f>0/C15/12</f>
        <v>0</v>
      </c>
      <c r="BE15" s="218">
        <f>ROUND(0,0)</f>
        <v>0</v>
      </c>
      <c r="BF15" s="218">
        <f>BD15*C15*12</f>
        <v>0</v>
      </c>
      <c r="BG15" s="218">
        <f>ROUND(0,0)</f>
        <v>0</v>
      </c>
      <c r="BH15" s="316">
        <f>E15+H15+M15+Q15+U15+Y15+AC15+AK15+AO15+AS15+BA15+BE15</f>
        <v>7.12</v>
      </c>
      <c r="BI15" s="212">
        <f>BH15*C15*12</f>
        <v>151758.528</v>
      </c>
      <c r="BJ15" s="281">
        <f>ROUND(BI15,0)</f>
        <v>151759</v>
      </c>
    </row>
    <row r="16" spans="1:62" ht="18" customHeight="1">
      <c r="A16" s="205">
        <v>2</v>
      </c>
      <c r="B16" s="319" t="s">
        <v>18</v>
      </c>
      <c r="C16" s="313">
        <v>1760.86</v>
      </c>
      <c r="D16" s="121">
        <f>0/C16/12</f>
        <v>0</v>
      </c>
      <c r="E16" s="132">
        <f aca="true" t="shared" si="11" ref="E16:E39">ROUND(D16,2)</f>
        <v>0</v>
      </c>
      <c r="F16" s="132">
        <f aca="true" t="shared" si="12" ref="F16:F39">E16*C16*12</f>
        <v>0</v>
      </c>
      <c r="G16" s="130">
        <f t="shared" si="0"/>
        <v>0</v>
      </c>
      <c r="H16" s="232">
        <f>20000/C16/12</f>
        <v>0.9465071991337567</v>
      </c>
      <c r="I16" s="132">
        <f t="shared" si="1"/>
        <v>0.95</v>
      </c>
      <c r="J16" s="130">
        <f t="shared" si="2"/>
        <v>20073.803999999996</v>
      </c>
      <c r="K16" s="130">
        <f aca="true" t="shared" si="13" ref="K16:K39">ROUND(J16,0)</f>
        <v>20074</v>
      </c>
      <c r="L16" s="232">
        <f t="shared" si="3"/>
        <v>0</v>
      </c>
      <c r="M16" s="167">
        <f>ROUND(L16,2)</f>
        <v>0</v>
      </c>
      <c r="N16" s="130">
        <f t="shared" si="4"/>
        <v>0</v>
      </c>
      <c r="O16" s="130">
        <f aca="true" t="shared" si="14" ref="O16:O40">ROUND(N16,0)</f>
        <v>0</v>
      </c>
      <c r="P16" s="232">
        <f aca="true" t="shared" si="15" ref="P16:P40">0/C16/12</f>
        <v>0</v>
      </c>
      <c r="Q16" s="132">
        <f>ROUND(P16,1)</f>
        <v>0</v>
      </c>
      <c r="R16" s="131">
        <f t="shared" si="5"/>
        <v>0</v>
      </c>
      <c r="S16" s="131">
        <f aca="true" t="shared" si="16" ref="S16:S40">ROUND(R16,0)</f>
        <v>0</v>
      </c>
      <c r="T16" s="232">
        <f aca="true" t="shared" si="17" ref="T16:T40">0/C16/12</f>
        <v>0</v>
      </c>
      <c r="U16" s="132">
        <f t="shared" si="6"/>
        <v>0</v>
      </c>
      <c r="V16" s="121">
        <f t="shared" si="7"/>
        <v>0</v>
      </c>
      <c r="W16" s="132">
        <f aca="true" t="shared" si="18" ref="W16:W40">ROUND(V16,0)</f>
        <v>0</v>
      </c>
      <c r="X16" s="232">
        <f>0/C16/12</f>
        <v>0</v>
      </c>
      <c r="Y16" s="132">
        <f aca="true" t="shared" si="19" ref="Y16:Y40">ROUND(X16,2)</f>
        <v>0</v>
      </c>
      <c r="Z16" s="132">
        <f aca="true" t="shared" si="20" ref="Z16:Z40">Y16*C16*12</f>
        <v>0</v>
      </c>
      <c r="AA16" s="132">
        <f aca="true" t="shared" si="21" ref="AA16:AA40">ROUND(Z16,0)</f>
        <v>0</v>
      </c>
      <c r="AB16" s="167">
        <f>0/C16/12</f>
        <v>0</v>
      </c>
      <c r="AC16" s="132">
        <f aca="true" t="shared" si="22" ref="AC16:AC40">ROUND(AB16,2)</f>
        <v>0</v>
      </c>
      <c r="AD16" s="130">
        <f t="shared" si="8"/>
        <v>0</v>
      </c>
      <c r="AE16" s="178">
        <f aca="true" t="shared" si="23" ref="AE16:AE41">ROUND(AD16,0)</f>
        <v>0</v>
      </c>
      <c r="AF16" s="287">
        <f aca="true" t="shared" si="24" ref="AF16:AF39">0/C16/12</f>
        <v>0</v>
      </c>
      <c r="AG16" s="288">
        <f aca="true" t="shared" si="25" ref="AG16:AG39">ROUND(AF16,2)</f>
        <v>0</v>
      </c>
      <c r="AH16" s="289">
        <f aca="true" t="shared" si="26" ref="AH16:AH39">AG16*C16*12</f>
        <v>0</v>
      </c>
      <c r="AI16" s="289">
        <f aca="true" t="shared" si="27" ref="AI16:AI39">ROUND(AH16,0)</f>
        <v>0</v>
      </c>
      <c r="AJ16" s="289">
        <f aca="true" t="shared" si="28" ref="AJ16:AJ32">15000/C16/12</f>
        <v>0.7098803993503174</v>
      </c>
      <c r="AK16" s="288">
        <f aca="true" t="shared" si="29" ref="AK16:AK40">ROUND(AJ16,2)</f>
        <v>0.71</v>
      </c>
      <c r="AL16" s="289">
        <f aca="true" t="shared" si="30" ref="AL16:AL40">AK16*C16*12</f>
        <v>15002.527199999999</v>
      </c>
      <c r="AM16" s="289">
        <f aca="true" t="shared" si="31" ref="AM16:AM40">ROUND(AL16,0)</f>
        <v>15003</v>
      </c>
      <c r="AN16" s="218">
        <f>0/C16/12</f>
        <v>0</v>
      </c>
      <c r="AO16" s="167">
        <f aca="true" t="shared" si="32" ref="AO16:AO40">ROUND(AN16,2)</f>
        <v>0</v>
      </c>
      <c r="AP16" s="218">
        <f>AO16*C16*12</f>
        <v>0</v>
      </c>
      <c r="AQ16" s="218">
        <f aca="true" t="shared" si="33" ref="AQ16:AQ41">ROUND(AP16,0)</f>
        <v>0</v>
      </c>
      <c r="AR16" s="218">
        <f aca="true" t="shared" si="34" ref="AR16:AR39">0/C16/12</f>
        <v>0</v>
      </c>
      <c r="AS16" s="167">
        <f aca="true" t="shared" si="35" ref="AS16:AS40">ROUND(AR16,2)</f>
        <v>0</v>
      </c>
      <c r="AT16" s="218">
        <f aca="true" t="shared" si="36" ref="AT16:AT40">AR16*C16*12</f>
        <v>0</v>
      </c>
      <c r="AU16" s="218">
        <f t="shared" si="9"/>
        <v>0</v>
      </c>
      <c r="AV16" s="167">
        <f>0/C16/12</f>
        <v>0</v>
      </c>
      <c r="AW16" s="167">
        <f aca="true" t="shared" si="37" ref="AW16:AW40">AV16+ROUND(0,0)</f>
        <v>0</v>
      </c>
      <c r="AX16" s="218">
        <f>AS16*C16*12</f>
        <v>0</v>
      </c>
      <c r="AY16" s="218">
        <f t="shared" si="10"/>
        <v>0</v>
      </c>
      <c r="AZ16" s="218">
        <f aca="true" t="shared" si="38" ref="AZ16:AZ40">0/C16/12</f>
        <v>0</v>
      </c>
      <c r="BA16" s="218">
        <f aca="true" t="shared" si="39" ref="BA16:BA40">ROUND(AZ16,2)</f>
        <v>0</v>
      </c>
      <c r="BB16" s="218">
        <f aca="true" t="shared" si="40" ref="BB16:BB40">BA16*C16*12</f>
        <v>0</v>
      </c>
      <c r="BC16" s="218">
        <f aca="true" t="shared" si="41" ref="BC16:BC41">ROUND(BB16,0)</f>
        <v>0</v>
      </c>
      <c r="BD16" s="218">
        <f aca="true" t="shared" si="42" ref="BD16:BD32">0/C16/12</f>
        <v>0</v>
      </c>
      <c r="BE16" s="218">
        <f aca="true" t="shared" si="43" ref="BE16:BE32">ROUND(0,0)</f>
        <v>0</v>
      </c>
      <c r="BF16" s="218">
        <f aca="true" t="shared" si="44" ref="BF16:BF39">BD16*C16*12</f>
        <v>0</v>
      </c>
      <c r="BG16" s="218">
        <f aca="true" t="shared" si="45" ref="BG16:BG32">ROUND(0,0)</f>
        <v>0</v>
      </c>
      <c r="BH16" s="316">
        <f>E16+H16+M16+Q16+U16+Y16+AC16+AK16+AO16+AS16+BA16+BE16</f>
        <v>1.6565071991337565</v>
      </c>
      <c r="BI16" s="212">
        <f aca="true" t="shared" si="46" ref="BI16:BI40">BH16*C16*12</f>
        <v>35002.5272</v>
      </c>
      <c r="BJ16" s="281">
        <f aca="true" t="shared" si="47" ref="BJ16:BJ40">ROUND(BI16,0)</f>
        <v>35003</v>
      </c>
    </row>
    <row r="17" spans="1:62" ht="18" customHeight="1">
      <c r="A17" s="205">
        <v>3</v>
      </c>
      <c r="B17" s="319" t="s">
        <v>19</v>
      </c>
      <c r="C17" s="313">
        <v>5850.5</v>
      </c>
      <c r="D17" s="121">
        <f>45000/C17/12</f>
        <v>0.640970857191693</v>
      </c>
      <c r="E17" s="132">
        <f t="shared" si="11"/>
        <v>0.64</v>
      </c>
      <c r="F17" s="132">
        <f t="shared" si="12"/>
        <v>44931.840000000004</v>
      </c>
      <c r="G17" s="130">
        <f t="shared" si="0"/>
        <v>44932</v>
      </c>
      <c r="H17" s="232">
        <f aca="true" t="shared" si="48" ref="H17:H37">0/C17/12</f>
        <v>0</v>
      </c>
      <c r="I17" s="132">
        <f t="shared" si="1"/>
        <v>0</v>
      </c>
      <c r="J17" s="130">
        <f t="shared" si="2"/>
        <v>0</v>
      </c>
      <c r="K17" s="130">
        <f t="shared" si="13"/>
        <v>0</v>
      </c>
      <c r="L17" s="232">
        <f t="shared" si="3"/>
        <v>0</v>
      </c>
      <c r="M17" s="167">
        <f aca="true" t="shared" si="49" ref="M17:M40">ROUND(L17,2)</f>
        <v>0</v>
      </c>
      <c r="N17" s="130">
        <f t="shared" si="4"/>
        <v>0</v>
      </c>
      <c r="O17" s="130">
        <f t="shared" si="14"/>
        <v>0</v>
      </c>
      <c r="P17" s="232">
        <f t="shared" si="15"/>
        <v>0</v>
      </c>
      <c r="Q17" s="132">
        <f>ROUND(P17,1)</f>
        <v>0</v>
      </c>
      <c r="R17" s="131">
        <f t="shared" si="5"/>
        <v>0</v>
      </c>
      <c r="S17" s="131">
        <f t="shared" si="16"/>
        <v>0</v>
      </c>
      <c r="T17" s="232">
        <f t="shared" si="17"/>
        <v>0</v>
      </c>
      <c r="U17" s="132">
        <f t="shared" si="6"/>
        <v>0</v>
      </c>
      <c r="V17" s="121">
        <f t="shared" si="7"/>
        <v>0</v>
      </c>
      <c r="W17" s="132">
        <f t="shared" si="18"/>
        <v>0</v>
      </c>
      <c r="X17" s="232">
        <f>0/C17/12</f>
        <v>0</v>
      </c>
      <c r="Y17" s="132">
        <f t="shared" si="19"/>
        <v>0</v>
      </c>
      <c r="Z17" s="132">
        <f t="shared" si="20"/>
        <v>0</v>
      </c>
      <c r="AA17" s="132">
        <f t="shared" si="21"/>
        <v>0</v>
      </c>
      <c r="AB17" s="167">
        <f>7000/C17/12</f>
        <v>0.09970657778537446</v>
      </c>
      <c r="AC17" s="132">
        <f t="shared" si="22"/>
        <v>0.1</v>
      </c>
      <c r="AD17" s="130">
        <f t="shared" si="8"/>
        <v>7020.6</v>
      </c>
      <c r="AE17" s="178">
        <f t="shared" si="23"/>
        <v>7021</v>
      </c>
      <c r="AF17" s="287">
        <f t="shared" si="24"/>
        <v>0</v>
      </c>
      <c r="AG17" s="288">
        <f t="shared" si="25"/>
        <v>0</v>
      </c>
      <c r="AH17" s="289">
        <f t="shared" si="26"/>
        <v>0</v>
      </c>
      <c r="AI17" s="289">
        <f t="shared" si="27"/>
        <v>0</v>
      </c>
      <c r="AJ17" s="289">
        <f t="shared" si="28"/>
        <v>0.213656952397231</v>
      </c>
      <c r="AK17" s="288">
        <f t="shared" si="29"/>
        <v>0.21</v>
      </c>
      <c r="AL17" s="289">
        <f>AK17*C17*12</f>
        <v>14743.26</v>
      </c>
      <c r="AM17" s="289">
        <f t="shared" si="31"/>
        <v>14743</v>
      </c>
      <c r="AN17" s="218">
        <f>21000/C17/12</f>
        <v>0.2991197333561234</v>
      </c>
      <c r="AO17" s="167">
        <f t="shared" si="32"/>
        <v>0.3</v>
      </c>
      <c r="AP17" s="218">
        <f>AO17*C17*12</f>
        <v>21061.8</v>
      </c>
      <c r="AQ17" s="218">
        <f t="shared" si="33"/>
        <v>21062</v>
      </c>
      <c r="AR17" s="218">
        <f t="shared" si="34"/>
        <v>0</v>
      </c>
      <c r="AS17" s="167">
        <f t="shared" si="35"/>
        <v>0</v>
      </c>
      <c r="AT17" s="218">
        <f t="shared" si="36"/>
        <v>0</v>
      </c>
      <c r="AU17" s="218">
        <f t="shared" si="9"/>
        <v>0</v>
      </c>
      <c r="AV17" s="167">
        <f>3000/C17/12</f>
        <v>0.042731390479446206</v>
      </c>
      <c r="AW17" s="167">
        <f t="shared" si="37"/>
        <v>0.042731390479446206</v>
      </c>
      <c r="AX17" s="218">
        <f>AW17*C17*12</f>
        <v>3000.0000000000005</v>
      </c>
      <c r="AY17" s="218">
        <f t="shared" si="10"/>
        <v>3000</v>
      </c>
      <c r="AZ17" s="218">
        <f>211955/C17/12</f>
        <v>3.0190439563570064</v>
      </c>
      <c r="BA17" s="218">
        <f t="shared" si="39"/>
        <v>3.02</v>
      </c>
      <c r="BB17" s="218">
        <f t="shared" si="40"/>
        <v>212022.12</v>
      </c>
      <c r="BC17" s="218">
        <f t="shared" si="41"/>
        <v>212022</v>
      </c>
      <c r="BD17" s="218">
        <f t="shared" si="42"/>
        <v>0</v>
      </c>
      <c r="BE17" s="218">
        <f t="shared" si="43"/>
        <v>0</v>
      </c>
      <c r="BF17" s="218">
        <f t="shared" si="44"/>
        <v>0</v>
      </c>
      <c r="BG17" s="218">
        <f t="shared" si="45"/>
        <v>0</v>
      </c>
      <c r="BH17" s="316">
        <f>E17+H17+M17+Q17+U17+Y17+AC17+AK17+AO17+AS17+BA17+BE17+AW17</f>
        <v>4.3127313904794455</v>
      </c>
      <c r="BI17" s="212">
        <f t="shared" si="46"/>
        <v>302779.61999999994</v>
      </c>
      <c r="BJ17" s="281">
        <f t="shared" si="47"/>
        <v>302780</v>
      </c>
    </row>
    <row r="18" spans="1:62" ht="18" customHeight="1">
      <c r="A18" s="205">
        <v>4</v>
      </c>
      <c r="B18" s="320" t="s">
        <v>21</v>
      </c>
      <c r="C18" s="313">
        <v>3668.19</v>
      </c>
      <c r="D18" s="121">
        <f>0/C18/12</f>
        <v>0</v>
      </c>
      <c r="E18" s="132">
        <f t="shared" si="11"/>
        <v>0</v>
      </c>
      <c r="F18" s="132">
        <f t="shared" si="12"/>
        <v>0</v>
      </c>
      <c r="G18" s="130">
        <f t="shared" si="0"/>
        <v>0</v>
      </c>
      <c r="H18" s="232">
        <f t="shared" si="48"/>
        <v>0</v>
      </c>
      <c r="I18" s="132">
        <f t="shared" si="1"/>
        <v>0</v>
      </c>
      <c r="J18" s="130">
        <f t="shared" si="2"/>
        <v>0</v>
      </c>
      <c r="K18" s="130">
        <f t="shared" si="13"/>
        <v>0</v>
      </c>
      <c r="L18" s="232">
        <f t="shared" si="3"/>
        <v>0</v>
      </c>
      <c r="M18" s="167">
        <f t="shared" si="49"/>
        <v>0</v>
      </c>
      <c r="N18" s="130">
        <f t="shared" si="4"/>
        <v>0</v>
      </c>
      <c r="O18" s="130">
        <f t="shared" si="14"/>
        <v>0</v>
      </c>
      <c r="P18" s="232">
        <f t="shared" si="15"/>
        <v>0</v>
      </c>
      <c r="Q18" s="132">
        <f aca="true" t="shared" si="50" ref="Q18:Q40">ROUND(P18,2)</f>
        <v>0</v>
      </c>
      <c r="R18" s="131">
        <f t="shared" si="5"/>
        <v>0</v>
      </c>
      <c r="S18" s="131">
        <f t="shared" si="16"/>
        <v>0</v>
      </c>
      <c r="T18" s="232">
        <f t="shared" si="17"/>
        <v>0</v>
      </c>
      <c r="U18" s="132">
        <f t="shared" si="6"/>
        <v>0</v>
      </c>
      <c r="V18" s="121">
        <f t="shared" si="7"/>
        <v>0</v>
      </c>
      <c r="W18" s="132">
        <f t="shared" si="18"/>
        <v>0</v>
      </c>
      <c r="X18" s="232">
        <f>14500/C18/12</f>
        <v>0.3294086002451709</v>
      </c>
      <c r="Y18" s="132">
        <f t="shared" si="19"/>
        <v>0.33</v>
      </c>
      <c r="Z18" s="132">
        <f t="shared" si="20"/>
        <v>14526.0324</v>
      </c>
      <c r="AA18" s="132">
        <f t="shared" si="21"/>
        <v>14526</v>
      </c>
      <c r="AB18" s="167">
        <f>0/C18/12</f>
        <v>0</v>
      </c>
      <c r="AC18" s="132">
        <f t="shared" si="22"/>
        <v>0</v>
      </c>
      <c r="AD18" s="130">
        <f t="shared" si="8"/>
        <v>0</v>
      </c>
      <c r="AE18" s="178">
        <f t="shared" si="23"/>
        <v>0</v>
      </c>
      <c r="AF18" s="287">
        <f t="shared" si="24"/>
        <v>0</v>
      </c>
      <c r="AG18" s="288">
        <f t="shared" si="25"/>
        <v>0</v>
      </c>
      <c r="AH18" s="289">
        <f t="shared" si="26"/>
        <v>0</v>
      </c>
      <c r="AI18" s="289">
        <f t="shared" si="27"/>
        <v>0</v>
      </c>
      <c r="AJ18" s="289">
        <f t="shared" si="28"/>
        <v>0.3407675174950044</v>
      </c>
      <c r="AK18" s="288">
        <f t="shared" si="29"/>
        <v>0.34</v>
      </c>
      <c r="AL18" s="289">
        <f t="shared" si="30"/>
        <v>14966.2152</v>
      </c>
      <c r="AM18" s="289">
        <f t="shared" si="31"/>
        <v>14966</v>
      </c>
      <c r="AN18" s="218">
        <f>14000/C18/12</f>
        <v>0.31804968299533737</v>
      </c>
      <c r="AO18" s="167">
        <f t="shared" si="32"/>
        <v>0.32</v>
      </c>
      <c r="AP18" s="218">
        <f aca="true" t="shared" si="51" ref="AP18:AP40">AO18*C18*12</f>
        <v>14085.8496</v>
      </c>
      <c r="AQ18" s="218">
        <f t="shared" si="33"/>
        <v>14086</v>
      </c>
      <c r="AR18" s="218">
        <f t="shared" si="34"/>
        <v>0</v>
      </c>
      <c r="AS18" s="167">
        <f t="shared" si="35"/>
        <v>0</v>
      </c>
      <c r="AT18" s="218">
        <f t="shared" si="36"/>
        <v>0</v>
      </c>
      <c r="AU18" s="218">
        <f t="shared" si="9"/>
        <v>0</v>
      </c>
      <c r="AV18" s="167">
        <f>7500/C18/12</f>
        <v>0.1703837587475022</v>
      </c>
      <c r="AW18" s="167">
        <f t="shared" si="37"/>
        <v>0.1703837587475022</v>
      </c>
      <c r="AX18" s="218">
        <f aca="true" t="shared" si="52" ref="AX18:AX40">AW18*C18*12</f>
        <v>7500.000000000002</v>
      </c>
      <c r="AY18" s="218">
        <f t="shared" si="10"/>
        <v>7500</v>
      </c>
      <c r="AZ18" s="218">
        <f>169155/C18/12</f>
        <v>3.8428352947911644</v>
      </c>
      <c r="BA18" s="218">
        <f t="shared" si="39"/>
        <v>3.84</v>
      </c>
      <c r="BB18" s="218">
        <f t="shared" si="40"/>
        <v>169030.1952</v>
      </c>
      <c r="BC18" s="218">
        <f t="shared" si="41"/>
        <v>169030</v>
      </c>
      <c r="BD18" s="218">
        <f t="shared" si="42"/>
        <v>0</v>
      </c>
      <c r="BE18" s="218">
        <f t="shared" si="43"/>
        <v>0</v>
      </c>
      <c r="BF18" s="218">
        <f t="shared" si="44"/>
        <v>0</v>
      </c>
      <c r="BG18" s="218">
        <f t="shared" si="45"/>
        <v>0</v>
      </c>
      <c r="BH18" s="316">
        <f aca="true" t="shared" si="53" ref="BH18:BH40">E18+H18+M18+Q18+U18+Y18+AC18+AK18+AO18+AS18+BA18+BE18+AW18</f>
        <v>5.000383758747502</v>
      </c>
      <c r="BI18" s="212">
        <f t="shared" si="46"/>
        <v>220108.2924</v>
      </c>
      <c r="BJ18" s="281">
        <f t="shared" si="47"/>
        <v>220108</v>
      </c>
    </row>
    <row r="19" spans="1:62" ht="18" customHeight="1">
      <c r="A19" s="205">
        <v>5</v>
      </c>
      <c r="B19" s="319" t="s">
        <v>22</v>
      </c>
      <c r="C19" s="313">
        <v>1470.1</v>
      </c>
      <c r="D19" s="121">
        <f>15000/C19/12</f>
        <v>0.8502822937215155</v>
      </c>
      <c r="E19" s="132">
        <f t="shared" si="11"/>
        <v>0.85</v>
      </c>
      <c r="F19" s="132">
        <f t="shared" si="12"/>
        <v>14995.019999999997</v>
      </c>
      <c r="G19" s="130">
        <f t="shared" si="0"/>
        <v>14995</v>
      </c>
      <c r="H19" s="232">
        <f>10000/C19/12</f>
        <v>0.5668548624810105</v>
      </c>
      <c r="I19" s="132">
        <f t="shared" si="1"/>
        <v>0.57</v>
      </c>
      <c r="J19" s="130">
        <f t="shared" si="2"/>
        <v>10055.483999999999</v>
      </c>
      <c r="K19" s="130">
        <f t="shared" si="13"/>
        <v>10055</v>
      </c>
      <c r="L19" s="232">
        <f>12000/C19/12</f>
        <v>0.6802258349772125</v>
      </c>
      <c r="M19" s="167">
        <f t="shared" si="49"/>
        <v>0.68</v>
      </c>
      <c r="N19" s="130">
        <f t="shared" si="4"/>
        <v>11996.016</v>
      </c>
      <c r="O19" s="130">
        <f t="shared" si="14"/>
        <v>11996</v>
      </c>
      <c r="P19" s="232">
        <f>12000/C19/12</f>
        <v>0.6802258349772125</v>
      </c>
      <c r="Q19" s="132">
        <f t="shared" si="50"/>
        <v>0.68</v>
      </c>
      <c r="R19" s="131">
        <f t="shared" si="5"/>
        <v>11996.016</v>
      </c>
      <c r="S19" s="131">
        <f t="shared" si="16"/>
        <v>11996</v>
      </c>
      <c r="T19" s="232">
        <f t="shared" si="17"/>
        <v>0</v>
      </c>
      <c r="U19" s="132">
        <f t="shared" si="6"/>
        <v>0</v>
      </c>
      <c r="V19" s="121">
        <f t="shared" si="7"/>
        <v>0</v>
      </c>
      <c r="W19" s="132">
        <f t="shared" si="18"/>
        <v>0</v>
      </c>
      <c r="X19" s="232">
        <f>0/C19/12</f>
        <v>0</v>
      </c>
      <c r="Y19" s="132">
        <f t="shared" si="19"/>
        <v>0</v>
      </c>
      <c r="Z19" s="132">
        <f t="shared" si="20"/>
        <v>0</v>
      </c>
      <c r="AA19" s="132">
        <f t="shared" si="21"/>
        <v>0</v>
      </c>
      <c r="AB19" s="167">
        <f>0/C19/12</f>
        <v>0</v>
      </c>
      <c r="AC19" s="132">
        <f t="shared" si="22"/>
        <v>0</v>
      </c>
      <c r="AD19" s="130">
        <f t="shared" si="8"/>
        <v>0</v>
      </c>
      <c r="AE19" s="178">
        <f t="shared" si="23"/>
        <v>0</v>
      </c>
      <c r="AF19" s="287">
        <f t="shared" si="24"/>
        <v>0</v>
      </c>
      <c r="AG19" s="288">
        <f t="shared" si="25"/>
        <v>0</v>
      </c>
      <c r="AH19" s="289">
        <f t="shared" si="26"/>
        <v>0</v>
      </c>
      <c r="AI19" s="289">
        <f t="shared" si="27"/>
        <v>0</v>
      </c>
      <c r="AJ19" s="289">
        <f t="shared" si="28"/>
        <v>0.8502822937215155</v>
      </c>
      <c r="AK19" s="288">
        <f t="shared" si="29"/>
        <v>0.85</v>
      </c>
      <c r="AL19" s="289">
        <f t="shared" si="30"/>
        <v>14995.019999999997</v>
      </c>
      <c r="AM19" s="289">
        <f t="shared" si="31"/>
        <v>14995</v>
      </c>
      <c r="AN19" s="218">
        <f>7000/C19/12</f>
        <v>0.39679840373670733</v>
      </c>
      <c r="AO19" s="167">
        <f t="shared" si="32"/>
        <v>0.4</v>
      </c>
      <c r="AP19" s="218">
        <f t="shared" si="51"/>
        <v>7056.48</v>
      </c>
      <c r="AQ19" s="218">
        <f t="shared" si="33"/>
        <v>7056</v>
      </c>
      <c r="AR19" s="218">
        <f t="shared" si="34"/>
        <v>0</v>
      </c>
      <c r="AS19" s="167">
        <f t="shared" si="35"/>
        <v>0</v>
      </c>
      <c r="AT19" s="218">
        <f t="shared" si="36"/>
        <v>0</v>
      </c>
      <c r="AU19" s="218">
        <f t="shared" si="9"/>
        <v>0</v>
      </c>
      <c r="AV19" s="167">
        <f>3000/C19/12</f>
        <v>0.1700564587443031</v>
      </c>
      <c r="AW19" s="167">
        <f t="shared" si="37"/>
        <v>0.1700564587443031</v>
      </c>
      <c r="AX19" s="218">
        <f t="shared" si="52"/>
        <v>3000</v>
      </c>
      <c r="AY19" s="218">
        <f t="shared" si="10"/>
        <v>3000</v>
      </c>
      <c r="AZ19" s="218">
        <f t="shared" si="38"/>
        <v>0</v>
      </c>
      <c r="BA19" s="218">
        <f t="shared" si="39"/>
        <v>0</v>
      </c>
      <c r="BB19" s="218">
        <f t="shared" si="40"/>
        <v>0</v>
      </c>
      <c r="BC19" s="218">
        <f t="shared" si="41"/>
        <v>0</v>
      </c>
      <c r="BD19" s="218">
        <f t="shared" si="42"/>
        <v>0</v>
      </c>
      <c r="BE19" s="218">
        <f t="shared" si="43"/>
        <v>0</v>
      </c>
      <c r="BF19" s="218">
        <f t="shared" si="44"/>
        <v>0</v>
      </c>
      <c r="BG19" s="218">
        <f t="shared" si="45"/>
        <v>0</v>
      </c>
      <c r="BH19" s="316">
        <f t="shared" si="53"/>
        <v>4.196911321225314</v>
      </c>
      <c r="BI19" s="212">
        <f t="shared" si="46"/>
        <v>74038.552</v>
      </c>
      <c r="BJ19" s="281">
        <f t="shared" si="47"/>
        <v>74039</v>
      </c>
    </row>
    <row r="20" spans="1:62" ht="18" customHeight="1">
      <c r="A20" s="205">
        <v>6</v>
      </c>
      <c r="B20" s="319" t="s">
        <v>23</v>
      </c>
      <c r="C20" s="313">
        <v>3659.96</v>
      </c>
      <c r="D20" s="121">
        <f>20000/C20/12</f>
        <v>0.45537838300600736</v>
      </c>
      <c r="E20" s="132">
        <f t="shared" si="11"/>
        <v>0.46</v>
      </c>
      <c r="F20" s="132">
        <f t="shared" si="12"/>
        <v>20202.9792</v>
      </c>
      <c r="G20" s="130">
        <f t="shared" si="0"/>
        <v>20203</v>
      </c>
      <c r="H20" s="232">
        <f>17000/C20/12</f>
        <v>0.38707162555510627</v>
      </c>
      <c r="I20" s="132">
        <f t="shared" si="1"/>
        <v>0.39</v>
      </c>
      <c r="J20" s="130">
        <f t="shared" si="2"/>
        <v>17128.612800000003</v>
      </c>
      <c r="K20" s="130">
        <f t="shared" si="13"/>
        <v>17129</v>
      </c>
      <c r="L20" s="232">
        <f t="shared" si="3"/>
        <v>0</v>
      </c>
      <c r="M20" s="167">
        <f t="shared" si="49"/>
        <v>0</v>
      </c>
      <c r="N20" s="130">
        <f t="shared" si="4"/>
        <v>0</v>
      </c>
      <c r="O20" s="136">
        <f t="shared" si="14"/>
        <v>0</v>
      </c>
      <c r="P20" s="232">
        <f t="shared" si="15"/>
        <v>0</v>
      </c>
      <c r="Q20" s="132">
        <f t="shared" si="50"/>
        <v>0</v>
      </c>
      <c r="R20" s="131">
        <f t="shared" si="5"/>
        <v>0</v>
      </c>
      <c r="S20" s="131">
        <f t="shared" si="16"/>
        <v>0</v>
      </c>
      <c r="T20" s="232">
        <f t="shared" si="17"/>
        <v>0</v>
      </c>
      <c r="U20" s="132">
        <f t="shared" si="6"/>
        <v>0</v>
      </c>
      <c r="V20" s="121">
        <f t="shared" si="7"/>
        <v>0</v>
      </c>
      <c r="W20" s="132">
        <f t="shared" si="18"/>
        <v>0</v>
      </c>
      <c r="X20" s="232">
        <f>35000/C20/12</f>
        <v>0.7969121702605128</v>
      </c>
      <c r="Y20" s="132">
        <f t="shared" si="19"/>
        <v>0.8</v>
      </c>
      <c r="Z20" s="132">
        <f t="shared" si="20"/>
        <v>35135.616</v>
      </c>
      <c r="AA20" s="132">
        <f t="shared" si="21"/>
        <v>35136</v>
      </c>
      <c r="AB20" s="167">
        <f>20500/C20/12</f>
        <v>0.4667628425811576</v>
      </c>
      <c r="AC20" s="132">
        <f t="shared" si="22"/>
        <v>0.47</v>
      </c>
      <c r="AD20" s="130">
        <f t="shared" si="8"/>
        <v>20642.1744</v>
      </c>
      <c r="AE20" s="178">
        <f t="shared" si="23"/>
        <v>20642</v>
      </c>
      <c r="AF20" s="287">
        <f t="shared" si="24"/>
        <v>0</v>
      </c>
      <c r="AG20" s="288">
        <f t="shared" si="25"/>
        <v>0</v>
      </c>
      <c r="AH20" s="289">
        <f t="shared" si="26"/>
        <v>0</v>
      </c>
      <c r="AI20" s="289">
        <f t="shared" si="27"/>
        <v>0</v>
      </c>
      <c r="AJ20" s="289">
        <f t="shared" si="28"/>
        <v>0.3415337872545055</v>
      </c>
      <c r="AK20" s="288">
        <f t="shared" si="29"/>
        <v>0.34</v>
      </c>
      <c r="AL20" s="289">
        <f t="shared" si="30"/>
        <v>14932.6368</v>
      </c>
      <c r="AM20" s="289">
        <f t="shared" si="31"/>
        <v>14933</v>
      </c>
      <c r="AN20" s="218">
        <f>0/C20/12</f>
        <v>0</v>
      </c>
      <c r="AO20" s="167">
        <f t="shared" si="32"/>
        <v>0</v>
      </c>
      <c r="AP20" s="218">
        <f t="shared" si="51"/>
        <v>0</v>
      </c>
      <c r="AQ20" s="218">
        <f t="shared" si="33"/>
        <v>0</v>
      </c>
      <c r="AR20" s="218">
        <f t="shared" si="34"/>
        <v>0</v>
      </c>
      <c r="AS20" s="167">
        <f t="shared" si="35"/>
        <v>0</v>
      </c>
      <c r="AT20" s="218">
        <f t="shared" si="36"/>
        <v>0</v>
      </c>
      <c r="AU20" s="218">
        <f t="shared" si="9"/>
        <v>0</v>
      </c>
      <c r="AV20" s="167">
        <f>7500/C20/12</f>
        <v>0.17076689362725275</v>
      </c>
      <c r="AW20" s="167">
        <f t="shared" si="37"/>
        <v>0.17076689362725275</v>
      </c>
      <c r="AX20" s="218">
        <f t="shared" si="52"/>
        <v>7500</v>
      </c>
      <c r="AY20" s="218">
        <f t="shared" si="10"/>
        <v>7500</v>
      </c>
      <c r="AZ20" s="218">
        <f>169155/C20/12</f>
        <v>3.8514765188690583</v>
      </c>
      <c r="BA20" s="218">
        <f t="shared" si="39"/>
        <v>3.85</v>
      </c>
      <c r="BB20" s="218">
        <f t="shared" si="40"/>
        <v>169090.152</v>
      </c>
      <c r="BC20" s="218">
        <f t="shared" si="41"/>
        <v>169090</v>
      </c>
      <c r="BD20" s="218">
        <f t="shared" si="42"/>
        <v>0</v>
      </c>
      <c r="BE20" s="218">
        <f t="shared" si="43"/>
        <v>0</v>
      </c>
      <c r="BF20" s="218">
        <f t="shared" si="44"/>
        <v>0</v>
      </c>
      <c r="BG20" s="218">
        <f t="shared" si="45"/>
        <v>0</v>
      </c>
      <c r="BH20" s="316">
        <f t="shared" si="53"/>
        <v>6.4778385191823595</v>
      </c>
      <c r="BI20" s="212">
        <f t="shared" si="46"/>
        <v>284503.55840000004</v>
      </c>
      <c r="BJ20" s="281">
        <f t="shared" si="47"/>
        <v>284504</v>
      </c>
    </row>
    <row r="21" spans="1:62" ht="18" customHeight="1">
      <c r="A21" s="205">
        <v>7</v>
      </c>
      <c r="B21" s="319" t="s">
        <v>24</v>
      </c>
      <c r="C21" s="313">
        <v>3673.5</v>
      </c>
      <c r="D21" s="121">
        <f>10000/C21/12</f>
        <v>0.22684996143550654</v>
      </c>
      <c r="E21" s="132">
        <f t="shared" si="11"/>
        <v>0.23</v>
      </c>
      <c r="F21" s="132">
        <f t="shared" si="12"/>
        <v>10138.86</v>
      </c>
      <c r="G21" s="130">
        <f t="shared" si="0"/>
        <v>10139</v>
      </c>
      <c r="H21" s="232">
        <f t="shared" si="48"/>
        <v>0</v>
      </c>
      <c r="I21" s="132">
        <f t="shared" si="1"/>
        <v>0</v>
      </c>
      <c r="J21" s="130">
        <f t="shared" si="2"/>
        <v>0</v>
      </c>
      <c r="K21" s="130">
        <f t="shared" si="13"/>
        <v>0</v>
      </c>
      <c r="L21" s="232">
        <f t="shared" si="3"/>
        <v>0</v>
      </c>
      <c r="M21" s="167">
        <f t="shared" si="49"/>
        <v>0</v>
      </c>
      <c r="N21" s="130">
        <f t="shared" si="4"/>
        <v>0</v>
      </c>
      <c r="O21" s="130">
        <f t="shared" si="14"/>
        <v>0</v>
      </c>
      <c r="P21" s="232">
        <f t="shared" si="15"/>
        <v>0</v>
      </c>
      <c r="Q21" s="132">
        <f t="shared" si="50"/>
        <v>0</v>
      </c>
      <c r="R21" s="131">
        <f t="shared" si="5"/>
        <v>0</v>
      </c>
      <c r="S21" s="131">
        <f t="shared" si="16"/>
        <v>0</v>
      </c>
      <c r="T21" s="232">
        <f t="shared" si="17"/>
        <v>0</v>
      </c>
      <c r="U21" s="132">
        <f t="shared" si="6"/>
        <v>0</v>
      </c>
      <c r="V21" s="121">
        <f t="shared" si="7"/>
        <v>0</v>
      </c>
      <c r="W21" s="132">
        <f t="shared" si="18"/>
        <v>0</v>
      </c>
      <c r="X21" s="232">
        <f>35000/C21/12</f>
        <v>0.793974865024273</v>
      </c>
      <c r="Y21" s="132">
        <f t="shared" si="19"/>
        <v>0.79</v>
      </c>
      <c r="Z21" s="132">
        <f t="shared" si="20"/>
        <v>34824.78</v>
      </c>
      <c r="AA21" s="132">
        <f t="shared" si="21"/>
        <v>34825</v>
      </c>
      <c r="AB21" s="167">
        <f>26500/C21/12</f>
        <v>0.6011523978040924</v>
      </c>
      <c r="AC21" s="132">
        <f t="shared" si="22"/>
        <v>0.6</v>
      </c>
      <c r="AD21" s="130">
        <f t="shared" si="8"/>
        <v>26449.199999999997</v>
      </c>
      <c r="AE21" s="178">
        <f t="shared" si="23"/>
        <v>26449</v>
      </c>
      <c r="AF21" s="287">
        <f t="shared" si="24"/>
        <v>0</v>
      </c>
      <c r="AG21" s="288">
        <f t="shared" si="25"/>
        <v>0</v>
      </c>
      <c r="AH21" s="289">
        <f t="shared" si="26"/>
        <v>0</v>
      </c>
      <c r="AI21" s="289">
        <f t="shared" si="27"/>
        <v>0</v>
      </c>
      <c r="AJ21" s="289">
        <f t="shared" si="28"/>
        <v>0.3402749421532598</v>
      </c>
      <c r="AK21" s="288">
        <f t="shared" si="29"/>
        <v>0.34</v>
      </c>
      <c r="AL21" s="289">
        <f t="shared" si="30"/>
        <v>14987.880000000001</v>
      </c>
      <c r="AM21" s="289">
        <f t="shared" si="31"/>
        <v>14988</v>
      </c>
      <c r="AN21" s="218">
        <f>14000/C21/12</f>
        <v>0.3175899460097092</v>
      </c>
      <c r="AO21" s="167">
        <f t="shared" si="32"/>
        <v>0.32</v>
      </c>
      <c r="AP21" s="218">
        <f t="shared" si="51"/>
        <v>14106.24</v>
      </c>
      <c r="AQ21" s="218">
        <f t="shared" si="33"/>
        <v>14106</v>
      </c>
      <c r="AR21" s="218">
        <f t="shared" si="34"/>
        <v>0</v>
      </c>
      <c r="AS21" s="167">
        <f t="shared" si="35"/>
        <v>0</v>
      </c>
      <c r="AT21" s="218">
        <f t="shared" si="36"/>
        <v>0</v>
      </c>
      <c r="AU21" s="218">
        <f t="shared" si="9"/>
        <v>0</v>
      </c>
      <c r="AV21" s="167">
        <f>7500/C21/12</f>
        <v>0.1701374710766299</v>
      </c>
      <c r="AW21" s="167">
        <f t="shared" si="37"/>
        <v>0.1701374710766299</v>
      </c>
      <c r="AX21" s="218">
        <f t="shared" si="52"/>
        <v>7500</v>
      </c>
      <c r="AY21" s="218">
        <f t="shared" si="10"/>
        <v>7500</v>
      </c>
      <c r="AZ21" s="218">
        <f>169155/C21/12</f>
        <v>3.837280522662311</v>
      </c>
      <c r="BA21" s="218">
        <f t="shared" si="39"/>
        <v>3.84</v>
      </c>
      <c r="BB21" s="218">
        <f t="shared" si="40"/>
        <v>169274.88</v>
      </c>
      <c r="BC21" s="218">
        <f t="shared" si="41"/>
        <v>169275</v>
      </c>
      <c r="BD21" s="218">
        <f t="shared" si="42"/>
        <v>0</v>
      </c>
      <c r="BE21" s="218">
        <f t="shared" si="43"/>
        <v>0</v>
      </c>
      <c r="BF21" s="218">
        <f t="shared" si="44"/>
        <v>0</v>
      </c>
      <c r="BG21" s="218">
        <f t="shared" si="45"/>
        <v>0</v>
      </c>
      <c r="BH21" s="316">
        <f t="shared" si="53"/>
        <v>6.29013747107663</v>
      </c>
      <c r="BI21" s="212">
        <f t="shared" si="46"/>
        <v>277281.83999999997</v>
      </c>
      <c r="BJ21" s="281">
        <f t="shared" si="47"/>
        <v>277282</v>
      </c>
    </row>
    <row r="22" spans="1:62" ht="18" customHeight="1">
      <c r="A22" s="205">
        <v>8</v>
      </c>
      <c r="B22" s="319" t="s">
        <v>25</v>
      </c>
      <c r="C22" s="313">
        <v>1469.5</v>
      </c>
      <c r="D22" s="121">
        <f>0/C22/12</f>
        <v>0</v>
      </c>
      <c r="E22" s="132">
        <f t="shared" si="11"/>
        <v>0</v>
      </c>
      <c r="F22" s="132">
        <f t="shared" si="12"/>
        <v>0</v>
      </c>
      <c r="G22" s="130">
        <f t="shared" si="0"/>
        <v>0</v>
      </c>
      <c r="H22" s="232">
        <f t="shared" si="48"/>
        <v>0</v>
      </c>
      <c r="I22" s="132">
        <f t="shared" si="1"/>
        <v>0</v>
      </c>
      <c r="J22" s="130">
        <f t="shared" si="2"/>
        <v>0</v>
      </c>
      <c r="K22" s="130">
        <f t="shared" si="13"/>
        <v>0</v>
      </c>
      <c r="L22" s="232">
        <f t="shared" si="3"/>
        <v>0</v>
      </c>
      <c r="M22" s="167">
        <f t="shared" si="49"/>
        <v>0</v>
      </c>
      <c r="N22" s="130">
        <f t="shared" si="4"/>
        <v>0</v>
      </c>
      <c r="O22" s="130">
        <f t="shared" si="14"/>
        <v>0</v>
      </c>
      <c r="P22" s="232">
        <f t="shared" si="15"/>
        <v>0</v>
      </c>
      <c r="Q22" s="132">
        <f t="shared" si="50"/>
        <v>0</v>
      </c>
      <c r="R22" s="131">
        <f t="shared" si="5"/>
        <v>0</v>
      </c>
      <c r="S22" s="131">
        <f t="shared" si="16"/>
        <v>0</v>
      </c>
      <c r="T22" s="232">
        <f t="shared" si="17"/>
        <v>0</v>
      </c>
      <c r="U22" s="132">
        <f t="shared" si="6"/>
        <v>0</v>
      </c>
      <c r="V22" s="121">
        <f t="shared" si="7"/>
        <v>0</v>
      </c>
      <c r="W22" s="132">
        <f t="shared" si="18"/>
        <v>0</v>
      </c>
      <c r="X22" s="232">
        <f>20000/C22/12</f>
        <v>1.1341726210729273</v>
      </c>
      <c r="Y22" s="132">
        <f t="shared" si="19"/>
        <v>1.13</v>
      </c>
      <c r="Z22" s="132">
        <f t="shared" si="20"/>
        <v>19926.42</v>
      </c>
      <c r="AA22" s="132">
        <f t="shared" si="21"/>
        <v>19926</v>
      </c>
      <c r="AB22" s="167">
        <f>0/C22/12</f>
        <v>0</v>
      </c>
      <c r="AC22" s="132">
        <f t="shared" si="22"/>
        <v>0</v>
      </c>
      <c r="AD22" s="130">
        <f t="shared" si="8"/>
        <v>0</v>
      </c>
      <c r="AE22" s="178">
        <f t="shared" si="23"/>
        <v>0</v>
      </c>
      <c r="AF22" s="287">
        <f t="shared" si="24"/>
        <v>0</v>
      </c>
      <c r="AG22" s="288">
        <f t="shared" si="25"/>
        <v>0</v>
      </c>
      <c r="AH22" s="289">
        <f t="shared" si="26"/>
        <v>0</v>
      </c>
      <c r="AI22" s="289">
        <f t="shared" si="27"/>
        <v>0</v>
      </c>
      <c r="AJ22" s="289">
        <f t="shared" si="28"/>
        <v>0.8506294658046955</v>
      </c>
      <c r="AK22" s="288">
        <f t="shared" si="29"/>
        <v>0.85</v>
      </c>
      <c r="AL22" s="289">
        <f t="shared" si="30"/>
        <v>14988.900000000001</v>
      </c>
      <c r="AM22" s="289">
        <f t="shared" si="31"/>
        <v>14989</v>
      </c>
      <c r="AN22" s="218">
        <f>20000/C22/12</f>
        <v>1.1341726210729273</v>
      </c>
      <c r="AO22" s="167">
        <f t="shared" si="32"/>
        <v>1.13</v>
      </c>
      <c r="AP22" s="218">
        <f t="shared" si="51"/>
        <v>19926.42</v>
      </c>
      <c r="AQ22" s="218">
        <f t="shared" si="33"/>
        <v>19926</v>
      </c>
      <c r="AR22" s="218">
        <f t="shared" si="34"/>
        <v>0</v>
      </c>
      <c r="AS22" s="167">
        <f t="shared" si="35"/>
        <v>0</v>
      </c>
      <c r="AT22" s="218">
        <f t="shared" si="36"/>
        <v>0</v>
      </c>
      <c r="AU22" s="218">
        <f t="shared" si="9"/>
        <v>0</v>
      </c>
      <c r="AV22" s="167">
        <f>3000/C22/12</f>
        <v>0.1701258931609391</v>
      </c>
      <c r="AW22" s="167">
        <f t="shared" si="37"/>
        <v>0.1701258931609391</v>
      </c>
      <c r="AX22" s="218">
        <f t="shared" si="52"/>
        <v>3000</v>
      </c>
      <c r="AY22" s="218">
        <f t="shared" si="10"/>
        <v>3000</v>
      </c>
      <c r="AZ22" s="218">
        <f t="shared" si="38"/>
        <v>0</v>
      </c>
      <c r="BA22" s="218">
        <f t="shared" si="39"/>
        <v>0</v>
      </c>
      <c r="BB22" s="218">
        <f t="shared" si="40"/>
        <v>0</v>
      </c>
      <c r="BC22" s="218">
        <f t="shared" si="41"/>
        <v>0</v>
      </c>
      <c r="BD22" s="218">
        <f t="shared" si="42"/>
        <v>0</v>
      </c>
      <c r="BE22" s="218">
        <f t="shared" si="43"/>
        <v>0</v>
      </c>
      <c r="BF22" s="218">
        <f t="shared" si="44"/>
        <v>0</v>
      </c>
      <c r="BG22" s="218">
        <f t="shared" si="45"/>
        <v>0</v>
      </c>
      <c r="BH22" s="316">
        <f t="shared" si="53"/>
        <v>3.280125893160939</v>
      </c>
      <c r="BI22" s="212">
        <f t="shared" si="46"/>
        <v>57841.73999999999</v>
      </c>
      <c r="BJ22" s="281">
        <f t="shared" si="47"/>
        <v>57842</v>
      </c>
    </row>
    <row r="23" spans="1:62" ht="18" customHeight="1">
      <c r="A23" s="205">
        <v>9</v>
      </c>
      <c r="B23" s="319" t="s">
        <v>26</v>
      </c>
      <c r="C23" s="313">
        <v>1470</v>
      </c>
      <c r="D23" s="121">
        <f>10000/C23/12</f>
        <v>0.5668934240362812</v>
      </c>
      <c r="E23" s="132">
        <f t="shared" si="11"/>
        <v>0.57</v>
      </c>
      <c r="F23" s="132">
        <f t="shared" si="12"/>
        <v>10054.8</v>
      </c>
      <c r="G23" s="130">
        <f t="shared" si="0"/>
        <v>10055</v>
      </c>
      <c r="H23" s="232">
        <f>10000/C23/12</f>
        <v>0.5668934240362812</v>
      </c>
      <c r="I23" s="132">
        <f t="shared" si="1"/>
        <v>0.57</v>
      </c>
      <c r="J23" s="130">
        <f t="shared" si="2"/>
        <v>10054.8</v>
      </c>
      <c r="K23" s="130">
        <f t="shared" si="13"/>
        <v>10055</v>
      </c>
      <c r="L23" s="232">
        <f t="shared" si="3"/>
        <v>0</v>
      </c>
      <c r="M23" s="167">
        <f t="shared" si="49"/>
        <v>0</v>
      </c>
      <c r="N23" s="130">
        <f t="shared" si="4"/>
        <v>0</v>
      </c>
      <c r="O23" s="136">
        <f t="shared" si="14"/>
        <v>0</v>
      </c>
      <c r="P23" s="232">
        <f t="shared" si="15"/>
        <v>0</v>
      </c>
      <c r="Q23" s="132">
        <f t="shared" si="50"/>
        <v>0</v>
      </c>
      <c r="R23" s="131">
        <f t="shared" si="5"/>
        <v>0</v>
      </c>
      <c r="S23" s="131">
        <f t="shared" si="16"/>
        <v>0</v>
      </c>
      <c r="T23" s="232">
        <f t="shared" si="17"/>
        <v>0</v>
      </c>
      <c r="U23" s="132">
        <f t="shared" si="6"/>
        <v>0</v>
      </c>
      <c r="V23" s="121">
        <f t="shared" si="7"/>
        <v>0</v>
      </c>
      <c r="W23" s="132">
        <f t="shared" si="18"/>
        <v>0</v>
      </c>
      <c r="X23" s="232">
        <f>11000/C23/12</f>
        <v>0.6235827664399093</v>
      </c>
      <c r="Y23" s="132">
        <f t="shared" si="19"/>
        <v>0.62</v>
      </c>
      <c r="Z23" s="132">
        <f t="shared" si="20"/>
        <v>10936.8</v>
      </c>
      <c r="AA23" s="132">
        <f t="shared" si="21"/>
        <v>10937</v>
      </c>
      <c r="AB23" s="167">
        <f>5500/C23/12</f>
        <v>0.31179138321995464</v>
      </c>
      <c r="AC23" s="132">
        <f t="shared" si="22"/>
        <v>0.31</v>
      </c>
      <c r="AD23" s="130">
        <f t="shared" si="8"/>
        <v>5468.4</v>
      </c>
      <c r="AE23" s="178">
        <f t="shared" si="23"/>
        <v>5468</v>
      </c>
      <c r="AF23" s="287">
        <f t="shared" si="24"/>
        <v>0</v>
      </c>
      <c r="AG23" s="288">
        <f t="shared" si="25"/>
        <v>0</v>
      </c>
      <c r="AH23" s="289">
        <f t="shared" si="26"/>
        <v>0</v>
      </c>
      <c r="AI23" s="289">
        <f t="shared" si="27"/>
        <v>0</v>
      </c>
      <c r="AJ23" s="289">
        <f t="shared" si="28"/>
        <v>0.8503401360544217</v>
      </c>
      <c r="AK23" s="288">
        <f t="shared" si="29"/>
        <v>0.85</v>
      </c>
      <c r="AL23" s="289">
        <f t="shared" si="30"/>
        <v>14994</v>
      </c>
      <c r="AM23" s="289">
        <f t="shared" si="31"/>
        <v>14994</v>
      </c>
      <c r="AN23" s="218">
        <f>20000/C23/12</f>
        <v>1.1337868480725624</v>
      </c>
      <c r="AO23" s="167">
        <f t="shared" si="32"/>
        <v>1.13</v>
      </c>
      <c r="AP23" s="218">
        <f t="shared" si="51"/>
        <v>19933.199999999997</v>
      </c>
      <c r="AQ23" s="218">
        <f t="shared" si="33"/>
        <v>19933</v>
      </c>
      <c r="AR23" s="218">
        <f t="shared" si="34"/>
        <v>0</v>
      </c>
      <c r="AS23" s="167">
        <f t="shared" si="35"/>
        <v>0</v>
      </c>
      <c r="AT23" s="218">
        <f t="shared" si="36"/>
        <v>0</v>
      </c>
      <c r="AU23" s="218">
        <f t="shared" si="9"/>
        <v>0</v>
      </c>
      <c r="AV23" s="167">
        <f>3000/C23/12</f>
        <v>0.17006802721088435</v>
      </c>
      <c r="AW23" s="167">
        <f t="shared" si="37"/>
        <v>0.17006802721088435</v>
      </c>
      <c r="AX23" s="218">
        <f t="shared" si="52"/>
        <v>3000</v>
      </c>
      <c r="AY23" s="218">
        <f t="shared" si="10"/>
        <v>3000</v>
      </c>
      <c r="AZ23" s="218">
        <f t="shared" si="38"/>
        <v>0</v>
      </c>
      <c r="BA23" s="218">
        <f t="shared" si="39"/>
        <v>0</v>
      </c>
      <c r="BB23" s="218">
        <f t="shared" si="40"/>
        <v>0</v>
      </c>
      <c r="BC23" s="218">
        <f t="shared" si="41"/>
        <v>0</v>
      </c>
      <c r="BD23" s="218">
        <f t="shared" si="42"/>
        <v>0</v>
      </c>
      <c r="BE23" s="218">
        <f t="shared" si="43"/>
        <v>0</v>
      </c>
      <c r="BF23" s="218">
        <f t="shared" si="44"/>
        <v>0</v>
      </c>
      <c r="BG23" s="218">
        <f t="shared" si="45"/>
        <v>0</v>
      </c>
      <c r="BH23" s="316">
        <f t="shared" si="53"/>
        <v>4.216961451247165</v>
      </c>
      <c r="BI23" s="212">
        <f t="shared" si="46"/>
        <v>74387.2</v>
      </c>
      <c r="BJ23" s="281">
        <f t="shared" si="47"/>
        <v>74387</v>
      </c>
    </row>
    <row r="24" spans="1:62" ht="21" customHeight="1">
      <c r="A24" s="205">
        <v>10</v>
      </c>
      <c r="B24" s="319" t="s">
        <v>27</v>
      </c>
      <c r="C24" s="313">
        <v>3672.36</v>
      </c>
      <c r="D24" s="121">
        <f>18000/C24/12</f>
        <v>0.4084566872528837</v>
      </c>
      <c r="E24" s="132">
        <f t="shared" si="11"/>
        <v>0.41</v>
      </c>
      <c r="F24" s="132">
        <f t="shared" si="12"/>
        <v>18068.0112</v>
      </c>
      <c r="G24" s="130">
        <f t="shared" si="0"/>
        <v>18068</v>
      </c>
      <c r="H24" s="232">
        <f>15000/C24/12</f>
        <v>0.34038057271073646</v>
      </c>
      <c r="I24" s="132">
        <f t="shared" si="1"/>
        <v>0.34</v>
      </c>
      <c r="J24" s="130">
        <f t="shared" si="2"/>
        <v>14983.228800000003</v>
      </c>
      <c r="K24" s="130">
        <f t="shared" si="13"/>
        <v>14983</v>
      </c>
      <c r="L24" s="232">
        <f>11000/C24/12</f>
        <v>0.24961241998787334</v>
      </c>
      <c r="M24" s="167">
        <f t="shared" si="49"/>
        <v>0.25</v>
      </c>
      <c r="N24" s="130">
        <f t="shared" si="4"/>
        <v>11017.08</v>
      </c>
      <c r="O24" s="130">
        <f t="shared" si="14"/>
        <v>11017</v>
      </c>
      <c r="P24" s="232">
        <f t="shared" si="15"/>
        <v>0</v>
      </c>
      <c r="Q24" s="132">
        <f t="shared" si="50"/>
        <v>0</v>
      </c>
      <c r="R24" s="131">
        <f t="shared" si="5"/>
        <v>0</v>
      </c>
      <c r="S24" s="131">
        <f t="shared" si="16"/>
        <v>0</v>
      </c>
      <c r="T24" s="232">
        <f>90000/C24/12</f>
        <v>2.042283436264418</v>
      </c>
      <c r="U24" s="132">
        <f t="shared" si="6"/>
        <v>2.04</v>
      </c>
      <c r="V24" s="121">
        <f t="shared" si="7"/>
        <v>89899.37280000001</v>
      </c>
      <c r="W24" s="132">
        <f t="shared" si="18"/>
        <v>89899</v>
      </c>
      <c r="X24" s="232">
        <f>48000/C24/12</f>
        <v>1.0892178326743565</v>
      </c>
      <c r="Y24" s="132">
        <f t="shared" si="19"/>
        <v>1.09</v>
      </c>
      <c r="Z24" s="132">
        <f t="shared" si="20"/>
        <v>48034.46880000001</v>
      </c>
      <c r="AA24" s="132">
        <f t="shared" si="21"/>
        <v>48034</v>
      </c>
      <c r="AB24" s="167">
        <f>31000/C24/12</f>
        <v>0.7034531836021886</v>
      </c>
      <c r="AC24" s="132">
        <f t="shared" si="22"/>
        <v>0.7</v>
      </c>
      <c r="AD24" s="130">
        <f t="shared" si="8"/>
        <v>30847.824</v>
      </c>
      <c r="AE24" s="178">
        <f t="shared" si="23"/>
        <v>30848</v>
      </c>
      <c r="AF24" s="287">
        <f t="shared" si="24"/>
        <v>0</v>
      </c>
      <c r="AG24" s="288">
        <f t="shared" si="25"/>
        <v>0</v>
      </c>
      <c r="AH24" s="289">
        <f t="shared" si="26"/>
        <v>0</v>
      </c>
      <c r="AI24" s="289">
        <f t="shared" si="27"/>
        <v>0</v>
      </c>
      <c r="AJ24" s="289">
        <f t="shared" si="28"/>
        <v>0.34038057271073646</v>
      </c>
      <c r="AK24" s="288">
        <f t="shared" si="29"/>
        <v>0.34</v>
      </c>
      <c r="AL24" s="289">
        <f t="shared" si="30"/>
        <v>14983.228800000003</v>
      </c>
      <c r="AM24" s="289">
        <f t="shared" si="31"/>
        <v>14983</v>
      </c>
      <c r="AN24" s="218">
        <f>14000/C24/12</f>
        <v>0.31768853453002066</v>
      </c>
      <c r="AO24" s="167">
        <f t="shared" si="32"/>
        <v>0.32</v>
      </c>
      <c r="AP24" s="218">
        <f t="shared" si="51"/>
        <v>14101.862400000002</v>
      </c>
      <c r="AQ24" s="218">
        <f t="shared" si="33"/>
        <v>14102</v>
      </c>
      <c r="AR24" s="218">
        <f t="shared" si="34"/>
        <v>0</v>
      </c>
      <c r="AS24" s="167">
        <f t="shared" si="35"/>
        <v>0</v>
      </c>
      <c r="AT24" s="218">
        <f t="shared" si="36"/>
        <v>0</v>
      </c>
      <c r="AU24" s="218">
        <f t="shared" si="9"/>
        <v>0</v>
      </c>
      <c r="AV24" s="167">
        <f>7500/C24/12</f>
        <v>0.17019028635536823</v>
      </c>
      <c r="AW24" s="167">
        <f t="shared" si="37"/>
        <v>0.17019028635536823</v>
      </c>
      <c r="AX24" s="218">
        <f t="shared" si="52"/>
        <v>7500.000000000002</v>
      </c>
      <c r="AY24" s="218">
        <f t="shared" si="10"/>
        <v>7500</v>
      </c>
      <c r="AZ24" s="218">
        <f t="shared" si="38"/>
        <v>0</v>
      </c>
      <c r="BA24" s="218">
        <f t="shared" si="39"/>
        <v>0</v>
      </c>
      <c r="BB24" s="218">
        <f t="shared" si="40"/>
        <v>0</v>
      </c>
      <c r="BC24" s="218">
        <f t="shared" si="41"/>
        <v>0</v>
      </c>
      <c r="BD24" s="218">
        <f t="shared" si="42"/>
        <v>0</v>
      </c>
      <c r="BE24" s="218">
        <f t="shared" si="43"/>
        <v>0</v>
      </c>
      <c r="BF24" s="218">
        <f t="shared" si="44"/>
        <v>0</v>
      </c>
      <c r="BG24" s="218">
        <f t="shared" si="45"/>
        <v>0</v>
      </c>
      <c r="BH24" s="316">
        <f t="shared" si="53"/>
        <v>5.660570859066105</v>
      </c>
      <c r="BI24" s="212">
        <f t="shared" si="46"/>
        <v>249451.84800000003</v>
      </c>
      <c r="BJ24" s="281">
        <f t="shared" si="47"/>
        <v>249452</v>
      </c>
    </row>
    <row r="25" spans="1:62" ht="21" customHeight="1">
      <c r="A25" s="205">
        <v>11</v>
      </c>
      <c r="B25" s="319" t="s">
        <v>28</v>
      </c>
      <c r="C25" s="313">
        <v>3648.6</v>
      </c>
      <c r="D25" s="121">
        <f>0/C25/12</f>
        <v>0</v>
      </c>
      <c r="E25" s="132">
        <f t="shared" si="11"/>
        <v>0</v>
      </c>
      <c r="F25" s="132">
        <f t="shared" si="12"/>
        <v>0</v>
      </c>
      <c r="G25" s="130">
        <f t="shared" si="0"/>
        <v>0</v>
      </c>
      <c r="H25" s="232">
        <f t="shared" si="48"/>
        <v>0</v>
      </c>
      <c r="I25" s="132">
        <f t="shared" si="1"/>
        <v>0</v>
      </c>
      <c r="J25" s="130">
        <f t="shared" si="2"/>
        <v>0</v>
      </c>
      <c r="K25" s="130">
        <f t="shared" si="13"/>
        <v>0</v>
      </c>
      <c r="L25" s="232">
        <f t="shared" si="3"/>
        <v>0</v>
      </c>
      <c r="M25" s="167">
        <f t="shared" si="49"/>
        <v>0</v>
      </c>
      <c r="N25" s="130">
        <f t="shared" si="4"/>
        <v>0</v>
      </c>
      <c r="O25" s="130">
        <f t="shared" si="14"/>
        <v>0</v>
      </c>
      <c r="P25" s="232">
        <f t="shared" si="15"/>
        <v>0</v>
      </c>
      <c r="Q25" s="132">
        <f t="shared" si="50"/>
        <v>0</v>
      </c>
      <c r="R25" s="131">
        <f t="shared" si="5"/>
        <v>0</v>
      </c>
      <c r="S25" s="131">
        <f t="shared" si="16"/>
        <v>0</v>
      </c>
      <c r="T25" s="232">
        <f t="shared" si="17"/>
        <v>0</v>
      </c>
      <c r="U25" s="132">
        <f t="shared" si="6"/>
        <v>0</v>
      </c>
      <c r="V25" s="121">
        <f t="shared" si="7"/>
        <v>0</v>
      </c>
      <c r="W25" s="132">
        <f t="shared" si="18"/>
        <v>0</v>
      </c>
      <c r="X25" s="232">
        <f>0/C25/12</f>
        <v>0</v>
      </c>
      <c r="Y25" s="132">
        <f t="shared" si="19"/>
        <v>0</v>
      </c>
      <c r="Z25" s="132">
        <f t="shared" si="20"/>
        <v>0</v>
      </c>
      <c r="AA25" s="132">
        <f t="shared" si="21"/>
        <v>0</v>
      </c>
      <c r="AB25" s="167">
        <f>20000/C25/12</f>
        <v>0.45679621407297777</v>
      </c>
      <c r="AC25" s="132">
        <f t="shared" si="22"/>
        <v>0.46</v>
      </c>
      <c r="AD25" s="130">
        <f t="shared" si="8"/>
        <v>20140.272</v>
      </c>
      <c r="AE25" s="178">
        <f t="shared" si="23"/>
        <v>20140</v>
      </c>
      <c r="AF25" s="287">
        <f t="shared" si="24"/>
        <v>0</v>
      </c>
      <c r="AG25" s="288">
        <f t="shared" si="25"/>
        <v>0</v>
      </c>
      <c r="AH25" s="289">
        <f t="shared" si="26"/>
        <v>0</v>
      </c>
      <c r="AI25" s="289">
        <f t="shared" si="27"/>
        <v>0</v>
      </c>
      <c r="AJ25" s="289">
        <f t="shared" si="28"/>
        <v>0.3425971605547333</v>
      </c>
      <c r="AK25" s="288">
        <f t="shared" si="29"/>
        <v>0.34</v>
      </c>
      <c r="AL25" s="289">
        <f t="shared" si="30"/>
        <v>14886.288</v>
      </c>
      <c r="AM25" s="289">
        <f t="shared" si="31"/>
        <v>14886</v>
      </c>
      <c r="AN25" s="218">
        <f>14500/C25/12</f>
        <v>0.3311772552029089</v>
      </c>
      <c r="AO25" s="167">
        <f t="shared" si="32"/>
        <v>0.33</v>
      </c>
      <c r="AP25" s="218">
        <f t="shared" si="51"/>
        <v>14448.456</v>
      </c>
      <c r="AQ25" s="218">
        <f t="shared" si="33"/>
        <v>14448</v>
      </c>
      <c r="AR25" s="218">
        <f t="shared" si="34"/>
        <v>0</v>
      </c>
      <c r="AS25" s="167">
        <f t="shared" si="35"/>
        <v>0</v>
      </c>
      <c r="AT25" s="218">
        <f t="shared" si="36"/>
        <v>0</v>
      </c>
      <c r="AU25" s="218">
        <f t="shared" si="9"/>
        <v>0</v>
      </c>
      <c r="AV25" s="167">
        <f>5900/C25/12</f>
        <v>0.13475488315152845</v>
      </c>
      <c r="AW25" s="167">
        <f t="shared" si="37"/>
        <v>0.13475488315152845</v>
      </c>
      <c r="AX25" s="218">
        <f t="shared" si="52"/>
        <v>5900</v>
      </c>
      <c r="AY25" s="218">
        <f t="shared" si="10"/>
        <v>5900</v>
      </c>
      <c r="AZ25" s="218">
        <f>169155/C25/12</f>
        <v>3.8634681795757277</v>
      </c>
      <c r="BA25" s="218">
        <f t="shared" si="39"/>
        <v>3.86</v>
      </c>
      <c r="BB25" s="218">
        <f t="shared" si="40"/>
        <v>169003.152</v>
      </c>
      <c r="BC25" s="218">
        <f t="shared" si="41"/>
        <v>169003</v>
      </c>
      <c r="BD25" s="218">
        <f t="shared" si="42"/>
        <v>0</v>
      </c>
      <c r="BE25" s="218">
        <f t="shared" si="43"/>
        <v>0</v>
      </c>
      <c r="BF25" s="218">
        <f t="shared" si="44"/>
        <v>0</v>
      </c>
      <c r="BG25" s="218">
        <f t="shared" si="45"/>
        <v>0</v>
      </c>
      <c r="BH25" s="316">
        <f t="shared" si="53"/>
        <v>5.124754883151529</v>
      </c>
      <c r="BI25" s="212">
        <f t="shared" si="46"/>
        <v>224378.168</v>
      </c>
      <c r="BJ25" s="281">
        <f t="shared" si="47"/>
        <v>224378</v>
      </c>
    </row>
    <row r="26" spans="1:62" ht="21" customHeight="1">
      <c r="A26" s="205">
        <v>12</v>
      </c>
      <c r="B26" s="319" t="s">
        <v>29</v>
      </c>
      <c r="C26" s="313">
        <v>1467</v>
      </c>
      <c r="D26" s="121">
        <f>15000/C26/12</f>
        <v>0.8520790729379687</v>
      </c>
      <c r="E26" s="132">
        <f t="shared" si="11"/>
        <v>0.85</v>
      </c>
      <c r="F26" s="132">
        <f t="shared" si="12"/>
        <v>14963.400000000001</v>
      </c>
      <c r="G26" s="130">
        <f t="shared" si="0"/>
        <v>14963</v>
      </c>
      <c r="H26" s="232">
        <f>7000/C26/12</f>
        <v>0.3976369007043854</v>
      </c>
      <c r="I26" s="132">
        <f t="shared" si="1"/>
        <v>0.4</v>
      </c>
      <c r="J26" s="130">
        <f t="shared" si="2"/>
        <v>7041.6</v>
      </c>
      <c r="K26" s="130">
        <f t="shared" si="13"/>
        <v>7042</v>
      </c>
      <c r="L26" s="232">
        <f t="shared" si="3"/>
        <v>0</v>
      </c>
      <c r="M26" s="167">
        <f t="shared" si="49"/>
        <v>0</v>
      </c>
      <c r="N26" s="130">
        <f t="shared" si="4"/>
        <v>0</v>
      </c>
      <c r="O26" s="130">
        <f t="shared" si="14"/>
        <v>0</v>
      </c>
      <c r="P26" s="232">
        <f t="shared" si="15"/>
        <v>0</v>
      </c>
      <c r="Q26" s="132">
        <f t="shared" si="50"/>
        <v>0</v>
      </c>
      <c r="R26" s="131">
        <f t="shared" si="5"/>
        <v>0</v>
      </c>
      <c r="S26" s="131">
        <f t="shared" si="16"/>
        <v>0</v>
      </c>
      <c r="T26" s="232">
        <f t="shared" si="17"/>
        <v>0</v>
      </c>
      <c r="U26" s="132">
        <f t="shared" si="6"/>
        <v>0</v>
      </c>
      <c r="V26" s="121">
        <f t="shared" si="7"/>
        <v>0</v>
      </c>
      <c r="W26" s="132">
        <f t="shared" si="18"/>
        <v>0</v>
      </c>
      <c r="X26" s="232">
        <f>0/C26/12</f>
        <v>0</v>
      </c>
      <c r="Y26" s="132">
        <f t="shared" si="19"/>
        <v>0</v>
      </c>
      <c r="Z26" s="132">
        <f t="shared" si="20"/>
        <v>0</v>
      </c>
      <c r="AA26" s="132">
        <f t="shared" si="21"/>
        <v>0</v>
      </c>
      <c r="AB26" s="167">
        <f>0/C26/12</f>
        <v>0</v>
      </c>
      <c r="AC26" s="132">
        <f t="shared" si="22"/>
        <v>0</v>
      </c>
      <c r="AD26" s="130">
        <f t="shared" si="8"/>
        <v>0</v>
      </c>
      <c r="AE26" s="178">
        <f t="shared" si="23"/>
        <v>0</v>
      </c>
      <c r="AF26" s="287">
        <f t="shared" si="24"/>
        <v>0</v>
      </c>
      <c r="AG26" s="288">
        <f t="shared" si="25"/>
        <v>0</v>
      </c>
      <c r="AH26" s="289">
        <f t="shared" si="26"/>
        <v>0</v>
      </c>
      <c r="AI26" s="289">
        <f t="shared" si="27"/>
        <v>0</v>
      </c>
      <c r="AJ26" s="289">
        <f t="shared" si="28"/>
        <v>0.8520790729379687</v>
      </c>
      <c r="AK26" s="288">
        <f t="shared" si="29"/>
        <v>0.85</v>
      </c>
      <c r="AL26" s="289">
        <f t="shared" si="30"/>
        <v>14963.400000000001</v>
      </c>
      <c r="AM26" s="289">
        <f t="shared" si="31"/>
        <v>14963</v>
      </c>
      <c r="AN26" s="218">
        <f>20000/C26/12</f>
        <v>1.1361054305839582</v>
      </c>
      <c r="AO26" s="167">
        <f t="shared" si="32"/>
        <v>1.14</v>
      </c>
      <c r="AP26" s="218">
        <f t="shared" si="51"/>
        <v>20068.559999999998</v>
      </c>
      <c r="AQ26" s="218">
        <f t="shared" si="33"/>
        <v>20069</v>
      </c>
      <c r="AR26" s="218">
        <f t="shared" si="34"/>
        <v>0</v>
      </c>
      <c r="AS26" s="167">
        <f t="shared" si="35"/>
        <v>0</v>
      </c>
      <c r="AT26" s="218">
        <f t="shared" si="36"/>
        <v>0</v>
      </c>
      <c r="AU26" s="218">
        <f t="shared" si="9"/>
        <v>0</v>
      </c>
      <c r="AV26" s="167">
        <f>3000/C26/12</f>
        <v>0.17041581458759372</v>
      </c>
      <c r="AW26" s="167">
        <f t="shared" si="37"/>
        <v>0.17041581458759372</v>
      </c>
      <c r="AX26" s="218">
        <f t="shared" si="52"/>
        <v>3000</v>
      </c>
      <c r="AY26" s="218">
        <f t="shared" si="10"/>
        <v>3000</v>
      </c>
      <c r="AZ26" s="218">
        <f t="shared" si="38"/>
        <v>0</v>
      </c>
      <c r="BA26" s="218">
        <f t="shared" si="39"/>
        <v>0</v>
      </c>
      <c r="BB26" s="218">
        <f t="shared" si="40"/>
        <v>0</v>
      </c>
      <c r="BC26" s="218">
        <f t="shared" si="41"/>
        <v>0</v>
      </c>
      <c r="BD26" s="218">
        <f t="shared" si="42"/>
        <v>0</v>
      </c>
      <c r="BE26" s="218">
        <f t="shared" si="43"/>
        <v>0</v>
      </c>
      <c r="BF26" s="218">
        <f t="shared" si="44"/>
        <v>0</v>
      </c>
      <c r="BG26" s="218">
        <f t="shared" si="45"/>
        <v>0</v>
      </c>
      <c r="BH26" s="316">
        <f t="shared" si="53"/>
        <v>3.4080527152919786</v>
      </c>
      <c r="BI26" s="212">
        <f t="shared" si="46"/>
        <v>59995.35999999999</v>
      </c>
      <c r="BJ26" s="281">
        <f t="shared" si="47"/>
        <v>59995</v>
      </c>
    </row>
    <row r="27" spans="1:62" ht="21" customHeight="1">
      <c r="A27" s="205">
        <v>13</v>
      </c>
      <c r="B27" s="319" t="s">
        <v>30</v>
      </c>
      <c r="C27" s="313">
        <v>1412.38</v>
      </c>
      <c r="D27" s="121">
        <f>0/C27/12</f>
        <v>0</v>
      </c>
      <c r="E27" s="132">
        <f t="shared" si="11"/>
        <v>0</v>
      </c>
      <c r="F27" s="132">
        <f t="shared" si="12"/>
        <v>0</v>
      </c>
      <c r="G27" s="130">
        <f t="shared" si="0"/>
        <v>0</v>
      </c>
      <c r="H27" s="232">
        <f t="shared" si="48"/>
        <v>0</v>
      </c>
      <c r="I27" s="132">
        <f t="shared" si="1"/>
        <v>0</v>
      </c>
      <c r="J27" s="130">
        <f t="shared" si="2"/>
        <v>0</v>
      </c>
      <c r="K27" s="130">
        <f t="shared" si="13"/>
        <v>0</v>
      </c>
      <c r="L27" s="232">
        <f>21000/C27/12</f>
        <v>1.2390433169543607</v>
      </c>
      <c r="M27" s="167">
        <f t="shared" si="49"/>
        <v>1.24</v>
      </c>
      <c r="N27" s="130">
        <f t="shared" si="4"/>
        <v>21016.2144</v>
      </c>
      <c r="O27" s="130">
        <f t="shared" si="14"/>
        <v>21016</v>
      </c>
      <c r="P27" s="232">
        <f t="shared" si="15"/>
        <v>0</v>
      </c>
      <c r="Q27" s="132">
        <f t="shared" si="50"/>
        <v>0</v>
      </c>
      <c r="R27" s="131">
        <f t="shared" si="5"/>
        <v>0</v>
      </c>
      <c r="S27" s="199">
        <f t="shared" si="16"/>
        <v>0</v>
      </c>
      <c r="T27" s="232">
        <f t="shared" si="17"/>
        <v>0</v>
      </c>
      <c r="U27" s="132">
        <f t="shared" si="6"/>
        <v>0</v>
      </c>
      <c r="V27" s="121">
        <f t="shared" si="7"/>
        <v>0</v>
      </c>
      <c r="W27" s="132">
        <f t="shared" si="18"/>
        <v>0</v>
      </c>
      <c r="X27" s="232">
        <f>18000/C27/12</f>
        <v>1.0620371288180233</v>
      </c>
      <c r="Y27" s="132">
        <f t="shared" si="19"/>
        <v>1.06</v>
      </c>
      <c r="Z27" s="132">
        <f t="shared" si="20"/>
        <v>17965.4736</v>
      </c>
      <c r="AA27" s="132">
        <f t="shared" si="21"/>
        <v>17965</v>
      </c>
      <c r="AB27" s="167">
        <f>17000/C27/12</f>
        <v>1.0030350661059109</v>
      </c>
      <c r="AC27" s="132">
        <f t="shared" si="22"/>
        <v>1</v>
      </c>
      <c r="AD27" s="130">
        <f t="shared" si="8"/>
        <v>16948.56</v>
      </c>
      <c r="AE27" s="201">
        <f t="shared" si="23"/>
        <v>16949</v>
      </c>
      <c r="AF27" s="287">
        <f t="shared" si="24"/>
        <v>0</v>
      </c>
      <c r="AG27" s="288">
        <f t="shared" si="25"/>
        <v>0</v>
      </c>
      <c r="AH27" s="289">
        <f t="shared" si="26"/>
        <v>0</v>
      </c>
      <c r="AI27" s="290">
        <f t="shared" si="27"/>
        <v>0</v>
      </c>
      <c r="AJ27" s="289">
        <f t="shared" si="28"/>
        <v>0.8850309406816862</v>
      </c>
      <c r="AK27" s="288">
        <f t="shared" si="29"/>
        <v>0.89</v>
      </c>
      <c r="AL27" s="289">
        <f t="shared" si="30"/>
        <v>15084.218400000002</v>
      </c>
      <c r="AM27" s="290">
        <f t="shared" si="31"/>
        <v>15084</v>
      </c>
      <c r="AN27" s="218">
        <f>14500/C27/12</f>
        <v>0.85552990932563</v>
      </c>
      <c r="AO27" s="167">
        <f t="shared" si="32"/>
        <v>0.86</v>
      </c>
      <c r="AP27" s="218">
        <f t="shared" si="51"/>
        <v>14575.7616</v>
      </c>
      <c r="AQ27" s="218">
        <f t="shared" si="33"/>
        <v>14576</v>
      </c>
      <c r="AR27" s="218">
        <f t="shared" si="34"/>
        <v>0</v>
      </c>
      <c r="AS27" s="167">
        <f t="shared" si="35"/>
        <v>0</v>
      </c>
      <c r="AT27" s="218">
        <f t="shared" si="36"/>
        <v>0</v>
      </c>
      <c r="AU27" s="218">
        <f t="shared" si="9"/>
        <v>0</v>
      </c>
      <c r="AV27" s="167">
        <f aca="true" t="shared" si="54" ref="AV27:AV32">0/C27/12</f>
        <v>0</v>
      </c>
      <c r="AW27" s="167">
        <f t="shared" si="37"/>
        <v>0</v>
      </c>
      <c r="AX27" s="218">
        <f t="shared" si="52"/>
        <v>0</v>
      </c>
      <c r="AY27" s="218">
        <f t="shared" si="10"/>
        <v>0</v>
      </c>
      <c r="AZ27" s="218">
        <f t="shared" si="38"/>
        <v>0</v>
      </c>
      <c r="BA27" s="218">
        <f t="shared" si="39"/>
        <v>0</v>
      </c>
      <c r="BB27" s="218">
        <f t="shared" si="40"/>
        <v>0</v>
      </c>
      <c r="BC27" s="218">
        <f t="shared" si="41"/>
        <v>0</v>
      </c>
      <c r="BD27" s="218">
        <f t="shared" si="42"/>
        <v>0</v>
      </c>
      <c r="BE27" s="218">
        <f t="shared" si="43"/>
        <v>0</v>
      </c>
      <c r="BF27" s="218">
        <f t="shared" si="44"/>
        <v>0</v>
      </c>
      <c r="BG27" s="218">
        <f t="shared" si="45"/>
        <v>0</v>
      </c>
      <c r="BH27" s="316">
        <f t="shared" si="53"/>
        <v>5.05</v>
      </c>
      <c r="BI27" s="212">
        <f t="shared" si="46"/>
        <v>85590.228</v>
      </c>
      <c r="BJ27" s="281">
        <f t="shared" si="47"/>
        <v>85590</v>
      </c>
    </row>
    <row r="28" spans="1:62" ht="21" customHeight="1">
      <c r="A28" s="205">
        <v>14</v>
      </c>
      <c r="B28" s="319" t="s">
        <v>31</v>
      </c>
      <c r="C28" s="313">
        <v>3355.43</v>
      </c>
      <c r="D28" s="121">
        <f>15000/C28/12</f>
        <v>0.3725304953463491</v>
      </c>
      <c r="E28" s="132">
        <f t="shared" si="11"/>
        <v>0.37</v>
      </c>
      <c r="F28" s="132">
        <f t="shared" si="12"/>
        <v>14898.109199999999</v>
      </c>
      <c r="G28" s="130">
        <f t="shared" si="0"/>
        <v>14898</v>
      </c>
      <c r="H28" s="232">
        <f>10000/C28/12</f>
        <v>0.24835366356423272</v>
      </c>
      <c r="I28" s="132">
        <f t="shared" si="1"/>
        <v>0.25</v>
      </c>
      <c r="J28" s="130">
        <f t="shared" si="2"/>
        <v>10066.289999999999</v>
      </c>
      <c r="K28" s="130">
        <f t="shared" si="13"/>
        <v>10066</v>
      </c>
      <c r="L28" s="232">
        <f t="shared" si="3"/>
        <v>0</v>
      </c>
      <c r="M28" s="167">
        <f t="shared" si="49"/>
        <v>0</v>
      </c>
      <c r="N28" s="130">
        <f t="shared" si="4"/>
        <v>0</v>
      </c>
      <c r="O28" s="130">
        <f t="shared" si="14"/>
        <v>0</v>
      </c>
      <c r="P28" s="232">
        <f t="shared" si="15"/>
        <v>0</v>
      </c>
      <c r="Q28" s="132">
        <f t="shared" si="50"/>
        <v>0</v>
      </c>
      <c r="R28" s="131">
        <f t="shared" si="5"/>
        <v>0</v>
      </c>
      <c r="S28" s="131">
        <f t="shared" si="16"/>
        <v>0</v>
      </c>
      <c r="T28" s="232">
        <f>85000/C28/12</f>
        <v>2.111006140295978</v>
      </c>
      <c r="U28" s="132">
        <f t="shared" si="6"/>
        <v>2.11</v>
      </c>
      <c r="V28" s="121">
        <f t="shared" si="7"/>
        <v>84959.4876</v>
      </c>
      <c r="W28" s="132">
        <f t="shared" si="18"/>
        <v>84959</v>
      </c>
      <c r="X28" s="232">
        <f>22000/C28/12</f>
        <v>0.5463780598413119</v>
      </c>
      <c r="Y28" s="132">
        <f t="shared" si="19"/>
        <v>0.55</v>
      </c>
      <c r="Z28" s="132">
        <f t="shared" si="20"/>
        <v>22145.838</v>
      </c>
      <c r="AA28" s="132">
        <f t="shared" si="21"/>
        <v>22146</v>
      </c>
      <c r="AB28" s="167">
        <f>7500/C28/12</f>
        <v>0.18626524767317454</v>
      </c>
      <c r="AC28" s="132">
        <f t="shared" si="22"/>
        <v>0.19</v>
      </c>
      <c r="AD28" s="130">
        <f t="shared" si="8"/>
        <v>7650.3804</v>
      </c>
      <c r="AE28" s="178">
        <f t="shared" si="23"/>
        <v>7650</v>
      </c>
      <c r="AF28" s="287">
        <f t="shared" si="24"/>
        <v>0</v>
      </c>
      <c r="AG28" s="288">
        <f t="shared" si="25"/>
        <v>0</v>
      </c>
      <c r="AH28" s="289">
        <f t="shared" si="26"/>
        <v>0</v>
      </c>
      <c r="AI28" s="289">
        <f t="shared" si="27"/>
        <v>0</v>
      </c>
      <c r="AJ28" s="289">
        <f t="shared" si="28"/>
        <v>0.3725304953463491</v>
      </c>
      <c r="AK28" s="288">
        <f t="shared" si="29"/>
        <v>0.37</v>
      </c>
      <c r="AL28" s="289">
        <f t="shared" si="30"/>
        <v>14898.109199999999</v>
      </c>
      <c r="AM28" s="289">
        <f t="shared" si="31"/>
        <v>14898</v>
      </c>
      <c r="AN28" s="218">
        <f>20000/C28/12</f>
        <v>0.49670732712846544</v>
      </c>
      <c r="AO28" s="167">
        <f t="shared" si="32"/>
        <v>0.5</v>
      </c>
      <c r="AP28" s="218">
        <f t="shared" si="51"/>
        <v>20132.579999999998</v>
      </c>
      <c r="AQ28" s="218">
        <f t="shared" si="33"/>
        <v>20133</v>
      </c>
      <c r="AR28" s="218">
        <f t="shared" si="34"/>
        <v>0</v>
      </c>
      <c r="AS28" s="167">
        <f t="shared" si="35"/>
        <v>0</v>
      </c>
      <c r="AT28" s="218">
        <f t="shared" si="36"/>
        <v>0</v>
      </c>
      <c r="AU28" s="218">
        <f t="shared" si="9"/>
        <v>0</v>
      </c>
      <c r="AV28" s="167">
        <f t="shared" si="54"/>
        <v>0</v>
      </c>
      <c r="AW28" s="167">
        <f t="shared" si="37"/>
        <v>0</v>
      </c>
      <c r="AX28" s="218">
        <f t="shared" si="52"/>
        <v>0</v>
      </c>
      <c r="AY28" s="218">
        <f t="shared" si="10"/>
        <v>0</v>
      </c>
      <c r="AZ28" s="218">
        <f t="shared" si="38"/>
        <v>0</v>
      </c>
      <c r="BA28" s="218">
        <f t="shared" si="39"/>
        <v>0</v>
      </c>
      <c r="BB28" s="218">
        <f t="shared" si="40"/>
        <v>0</v>
      </c>
      <c r="BC28" s="218">
        <f t="shared" si="41"/>
        <v>0</v>
      </c>
      <c r="BD28" s="218">
        <f t="shared" si="42"/>
        <v>0</v>
      </c>
      <c r="BE28" s="218">
        <f t="shared" si="43"/>
        <v>0</v>
      </c>
      <c r="BF28" s="218">
        <f t="shared" si="44"/>
        <v>0</v>
      </c>
      <c r="BG28" s="218">
        <f t="shared" si="45"/>
        <v>0</v>
      </c>
      <c r="BH28" s="316">
        <f t="shared" si="53"/>
        <v>4.338353663564233</v>
      </c>
      <c r="BI28" s="212">
        <f t="shared" si="46"/>
        <v>174684.50439999998</v>
      </c>
      <c r="BJ28" s="281">
        <f t="shared" si="47"/>
        <v>174685</v>
      </c>
    </row>
    <row r="29" spans="1:62" ht="21" customHeight="1">
      <c r="A29" s="205">
        <v>15</v>
      </c>
      <c r="B29" s="319" t="s">
        <v>32</v>
      </c>
      <c r="C29" s="313">
        <v>3538.7</v>
      </c>
      <c r="D29" s="121">
        <f>0/C29/12</f>
        <v>0</v>
      </c>
      <c r="E29" s="132">
        <f t="shared" si="11"/>
        <v>0</v>
      </c>
      <c r="F29" s="132">
        <f t="shared" si="12"/>
        <v>0</v>
      </c>
      <c r="G29" s="130">
        <f t="shared" si="0"/>
        <v>0</v>
      </c>
      <c r="H29" s="232">
        <f t="shared" si="48"/>
        <v>0</v>
      </c>
      <c r="I29" s="132">
        <f t="shared" si="1"/>
        <v>0</v>
      </c>
      <c r="J29" s="130">
        <f t="shared" si="2"/>
        <v>0</v>
      </c>
      <c r="K29" s="130">
        <f t="shared" si="13"/>
        <v>0</v>
      </c>
      <c r="L29" s="232">
        <f t="shared" si="3"/>
        <v>0</v>
      </c>
      <c r="M29" s="167">
        <f t="shared" si="49"/>
        <v>0</v>
      </c>
      <c r="N29" s="130">
        <f t="shared" si="4"/>
        <v>0</v>
      </c>
      <c r="O29" s="130">
        <f t="shared" si="14"/>
        <v>0</v>
      </c>
      <c r="P29" s="232">
        <f t="shared" si="15"/>
        <v>0</v>
      </c>
      <c r="Q29" s="132">
        <f t="shared" si="50"/>
        <v>0</v>
      </c>
      <c r="R29" s="131">
        <f t="shared" si="5"/>
        <v>0</v>
      </c>
      <c r="S29" s="131">
        <f t="shared" si="16"/>
        <v>0</v>
      </c>
      <c r="T29" s="232">
        <f t="shared" si="17"/>
        <v>0</v>
      </c>
      <c r="U29" s="132">
        <f t="shared" si="6"/>
        <v>0</v>
      </c>
      <c r="V29" s="121">
        <f t="shared" si="7"/>
        <v>0</v>
      </c>
      <c r="W29" s="132">
        <f t="shared" si="18"/>
        <v>0</v>
      </c>
      <c r="X29" s="232">
        <f>0/C29/12</f>
        <v>0</v>
      </c>
      <c r="Y29" s="132">
        <f t="shared" si="19"/>
        <v>0</v>
      </c>
      <c r="Z29" s="132">
        <f t="shared" si="20"/>
        <v>0</v>
      </c>
      <c r="AA29" s="132">
        <f t="shared" si="21"/>
        <v>0</v>
      </c>
      <c r="AB29" s="167">
        <f>7500/C29/12</f>
        <v>0.17661853222934976</v>
      </c>
      <c r="AC29" s="132">
        <f t="shared" si="22"/>
        <v>0.18</v>
      </c>
      <c r="AD29" s="130">
        <f t="shared" si="8"/>
        <v>7643.591999999999</v>
      </c>
      <c r="AE29" s="178">
        <f t="shared" si="23"/>
        <v>7644</v>
      </c>
      <c r="AF29" s="287">
        <f t="shared" si="24"/>
        <v>0</v>
      </c>
      <c r="AG29" s="288">
        <f t="shared" si="25"/>
        <v>0</v>
      </c>
      <c r="AH29" s="289">
        <f t="shared" si="26"/>
        <v>0</v>
      </c>
      <c r="AI29" s="289">
        <f t="shared" si="27"/>
        <v>0</v>
      </c>
      <c r="AJ29" s="289">
        <f t="shared" si="28"/>
        <v>0.3532370644586995</v>
      </c>
      <c r="AK29" s="288">
        <f t="shared" si="29"/>
        <v>0.35</v>
      </c>
      <c r="AL29" s="289">
        <f t="shared" si="30"/>
        <v>14862.539999999997</v>
      </c>
      <c r="AM29" s="289">
        <f t="shared" si="31"/>
        <v>14863</v>
      </c>
      <c r="AN29" s="218">
        <f>20000/C29/12</f>
        <v>0.47098275261159944</v>
      </c>
      <c r="AO29" s="167">
        <f t="shared" si="32"/>
        <v>0.47</v>
      </c>
      <c r="AP29" s="218">
        <f t="shared" si="51"/>
        <v>19958.267999999996</v>
      </c>
      <c r="AQ29" s="218">
        <f t="shared" si="33"/>
        <v>19958</v>
      </c>
      <c r="AR29" s="218">
        <f t="shared" si="34"/>
        <v>0</v>
      </c>
      <c r="AS29" s="167">
        <f t="shared" si="35"/>
        <v>0</v>
      </c>
      <c r="AT29" s="218">
        <f t="shared" si="36"/>
        <v>0</v>
      </c>
      <c r="AU29" s="218">
        <f t="shared" si="9"/>
        <v>0</v>
      </c>
      <c r="AV29" s="167">
        <f t="shared" si="54"/>
        <v>0</v>
      </c>
      <c r="AW29" s="167">
        <f t="shared" si="37"/>
        <v>0</v>
      </c>
      <c r="AX29" s="218">
        <f t="shared" si="52"/>
        <v>0</v>
      </c>
      <c r="AY29" s="218">
        <f t="shared" si="10"/>
        <v>0</v>
      </c>
      <c r="AZ29" s="218">
        <f>131620/C29/12</f>
        <v>3.0995374949369356</v>
      </c>
      <c r="BA29" s="218">
        <f t="shared" si="39"/>
        <v>3.1</v>
      </c>
      <c r="BB29" s="218">
        <f t="shared" si="40"/>
        <v>131639.63999999998</v>
      </c>
      <c r="BC29" s="218">
        <f t="shared" si="41"/>
        <v>131640</v>
      </c>
      <c r="BD29" s="218">
        <f t="shared" si="42"/>
        <v>0</v>
      </c>
      <c r="BE29" s="218">
        <f t="shared" si="43"/>
        <v>0</v>
      </c>
      <c r="BF29" s="218">
        <f t="shared" si="44"/>
        <v>0</v>
      </c>
      <c r="BG29" s="218">
        <f t="shared" si="45"/>
        <v>0</v>
      </c>
      <c r="BH29" s="316">
        <f t="shared" si="53"/>
        <v>4.1</v>
      </c>
      <c r="BI29" s="212">
        <f t="shared" si="46"/>
        <v>174104.03999999998</v>
      </c>
      <c r="BJ29" s="281">
        <f t="shared" si="47"/>
        <v>174104</v>
      </c>
    </row>
    <row r="30" spans="1:62" ht="21" customHeight="1">
      <c r="A30" s="205">
        <v>16</v>
      </c>
      <c r="B30" s="319" t="s">
        <v>33</v>
      </c>
      <c r="C30" s="313">
        <v>4855.1</v>
      </c>
      <c r="D30" s="121">
        <f>20000/C30/12</f>
        <v>0.3432816351190844</v>
      </c>
      <c r="E30" s="132">
        <f t="shared" si="11"/>
        <v>0.34</v>
      </c>
      <c r="F30" s="132">
        <f t="shared" si="12"/>
        <v>19808.808</v>
      </c>
      <c r="G30" s="130">
        <f t="shared" si="0"/>
        <v>19809</v>
      </c>
      <c r="H30" s="232">
        <f>15000/C30/12</f>
        <v>0.2574612263393133</v>
      </c>
      <c r="I30" s="132">
        <f t="shared" si="1"/>
        <v>0.26</v>
      </c>
      <c r="J30" s="130">
        <f t="shared" si="2"/>
        <v>15147.912000000004</v>
      </c>
      <c r="K30" s="130">
        <f t="shared" si="13"/>
        <v>15148</v>
      </c>
      <c r="L30" s="232">
        <f t="shared" si="3"/>
        <v>0</v>
      </c>
      <c r="M30" s="167">
        <f t="shared" si="49"/>
        <v>0</v>
      </c>
      <c r="N30" s="130">
        <f t="shared" si="4"/>
        <v>0</v>
      </c>
      <c r="O30" s="130">
        <f t="shared" si="14"/>
        <v>0</v>
      </c>
      <c r="P30" s="232">
        <f t="shared" si="15"/>
        <v>0</v>
      </c>
      <c r="Q30" s="132">
        <f t="shared" si="50"/>
        <v>0</v>
      </c>
      <c r="R30" s="131">
        <f t="shared" si="5"/>
        <v>0</v>
      </c>
      <c r="S30" s="131">
        <f t="shared" si="16"/>
        <v>0</v>
      </c>
      <c r="T30" s="232">
        <f>100000/C30/12</f>
        <v>1.716408175595422</v>
      </c>
      <c r="U30" s="132">
        <f t="shared" si="6"/>
        <v>1.72</v>
      </c>
      <c r="V30" s="121">
        <f t="shared" si="7"/>
        <v>100209.26400000001</v>
      </c>
      <c r="W30" s="132">
        <f t="shared" si="18"/>
        <v>100209</v>
      </c>
      <c r="X30" s="232">
        <f>65000/C30/12</f>
        <v>1.115665314137024</v>
      </c>
      <c r="Y30" s="132">
        <f t="shared" si="19"/>
        <v>1.12</v>
      </c>
      <c r="Z30" s="132">
        <f t="shared" si="20"/>
        <v>65252.544000000016</v>
      </c>
      <c r="AA30" s="132">
        <f t="shared" si="21"/>
        <v>65253</v>
      </c>
      <c r="AB30" s="167">
        <f>0/C30/12</f>
        <v>0</v>
      </c>
      <c r="AC30" s="132">
        <f t="shared" si="22"/>
        <v>0</v>
      </c>
      <c r="AD30" s="130">
        <f t="shared" si="8"/>
        <v>0</v>
      </c>
      <c r="AE30" s="178">
        <f t="shared" si="23"/>
        <v>0</v>
      </c>
      <c r="AF30" s="287">
        <f t="shared" si="24"/>
        <v>0</v>
      </c>
      <c r="AG30" s="288">
        <f t="shared" si="25"/>
        <v>0</v>
      </c>
      <c r="AH30" s="289">
        <f t="shared" si="26"/>
        <v>0</v>
      </c>
      <c r="AI30" s="289">
        <f t="shared" si="27"/>
        <v>0</v>
      </c>
      <c r="AJ30" s="289">
        <f t="shared" si="28"/>
        <v>0.2574612263393133</v>
      </c>
      <c r="AK30" s="288">
        <f t="shared" si="29"/>
        <v>0.26</v>
      </c>
      <c r="AL30" s="289">
        <f t="shared" si="30"/>
        <v>15147.912000000004</v>
      </c>
      <c r="AM30" s="289">
        <f t="shared" si="31"/>
        <v>15148</v>
      </c>
      <c r="AN30" s="218">
        <f>20000/C30/12</f>
        <v>0.3432816351190844</v>
      </c>
      <c r="AO30" s="167">
        <f t="shared" si="32"/>
        <v>0.34</v>
      </c>
      <c r="AP30" s="218">
        <f t="shared" si="51"/>
        <v>19808.808</v>
      </c>
      <c r="AQ30" s="218">
        <f t="shared" si="33"/>
        <v>19809</v>
      </c>
      <c r="AR30" s="218">
        <f t="shared" si="34"/>
        <v>0</v>
      </c>
      <c r="AS30" s="167">
        <f t="shared" si="35"/>
        <v>0</v>
      </c>
      <c r="AT30" s="218">
        <f t="shared" si="36"/>
        <v>0</v>
      </c>
      <c r="AU30" s="218">
        <f t="shared" si="9"/>
        <v>0</v>
      </c>
      <c r="AV30" s="167">
        <f t="shared" si="54"/>
        <v>0</v>
      </c>
      <c r="AW30" s="167">
        <f t="shared" si="37"/>
        <v>0</v>
      </c>
      <c r="AX30" s="218">
        <f t="shared" si="52"/>
        <v>0</v>
      </c>
      <c r="AY30" s="218">
        <f t="shared" si="10"/>
        <v>0</v>
      </c>
      <c r="AZ30" s="218">
        <f t="shared" si="38"/>
        <v>0</v>
      </c>
      <c r="BA30" s="218">
        <f t="shared" si="39"/>
        <v>0</v>
      </c>
      <c r="BB30" s="218">
        <f t="shared" si="40"/>
        <v>0</v>
      </c>
      <c r="BC30" s="218">
        <f t="shared" si="41"/>
        <v>0</v>
      </c>
      <c r="BD30" s="218">
        <f t="shared" si="42"/>
        <v>0</v>
      </c>
      <c r="BE30" s="218">
        <f t="shared" si="43"/>
        <v>0</v>
      </c>
      <c r="BF30" s="218">
        <f t="shared" si="44"/>
        <v>0</v>
      </c>
      <c r="BG30" s="218">
        <f t="shared" si="45"/>
        <v>0</v>
      </c>
      <c r="BH30" s="316">
        <f t="shared" si="53"/>
        <v>4.037461226339313</v>
      </c>
      <c r="BI30" s="212">
        <f t="shared" si="46"/>
        <v>235227.33599999998</v>
      </c>
      <c r="BJ30" s="281">
        <f t="shared" si="47"/>
        <v>235227</v>
      </c>
    </row>
    <row r="31" spans="1:62" ht="21" customHeight="1">
      <c r="A31" s="205">
        <v>17</v>
      </c>
      <c r="B31" s="319" t="s">
        <v>34</v>
      </c>
      <c r="C31" s="313">
        <v>4736.91</v>
      </c>
      <c r="D31" s="121">
        <f>25000/C31/12</f>
        <v>0.43980851089282536</v>
      </c>
      <c r="E31" s="132">
        <f t="shared" si="11"/>
        <v>0.44</v>
      </c>
      <c r="F31" s="132">
        <f t="shared" si="12"/>
        <v>25010.8848</v>
      </c>
      <c r="G31" s="130">
        <f t="shared" si="0"/>
        <v>25011</v>
      </c>
      <c r="H31" s="232">
        <f>20000/C31/12</f>
        <v>0.35184680871426033</v>
      </c>
      <c r="I31" s="132">
        <f t="shared" si="1"/>
        <v>0.35</v>
      </c>
      <c r="J31" s="130">
        <f t="shared" si="2"/>
        <v>19895.021999999997</v>
      </c>
      <c r="K31" s="130">
        <f t="shared" si="13"/>
        <v>19895</v>
      </c>
      <c r="L31" s="232">
        <f t="shared" si="3"/>
        <v>0</v>
      </c>
      <c r="M31" s="167">
        <f t="shared" si="49"/>
        <v>0</v>
      </c>
      <c r="N31" s="130">
        <f t="shared" si="4"/>
        <v>0</v>
      </c>
      <c r="O31" s="136">
        <f t="shared" si="14"/>
        <v>0</v>
      </c>
      <c r="P31" s="232">
        <f t="shared" si="15"/>
        <v>0</v>
      </c>
      <c r="Q31" s="132">
        <f t="shared" si="50"/>
        <v>0</v>
      </c>
      <c r="R31" s="131">
        <f t="shared" si="5"/>
        <v>0</v>
      </c>
      <c r="S31" s="131">
        <f t="shared" si="16"/>
        <v>0</v>
      </c>
      <c r="T31" s="232">
        <f>100000/C31/12</f>
        <v>1.7592340435713014</v>
      </c>
      <c r="U31" s="132">
        <f t="shared" si="6"/>
        <v>1.76</v>
      </c>
      <c r="V31" s="121">
        <f t="shared" si="7"/>
        <v>100043.5392</v>
      </c>
      <c r="W31" s="132">
        <f t="shared" si="18"/>
        <v>100044</v>
      </c>
      <c r="X31" s="232">
        <f>70000/C31/12</f>
        <v>1.231463830499911</v>
      </c>
      <c r="Y31" s="132">
        <f t="shared" si="19"/>
        <v>1.23</v>
      </c>
      <c r="Z31" s="132">
        <f t="shared" si="20"/>
        <v>69916.7916</v>
      </c>
      <c r="AA31" s="132">
        <f t="shared" si="21"/>
        <v>69917</v>
      </c>
      <c r="AB31" s="167">
        <f>0/C31/12</f>
        <v>0</v>
      </c>
      <c r="AC31" s="132">
        <f t="shared" si="22"/>
        <v>0</v>
      </c>
      <c r="AD31" s="130">
        <f t="shared" si="8"/>
        <v>0</v>
      </c>
      <c r="AE31" s="178">
        <f t="shared" si="23"/>
        <v>0</v>
      </c>
      <c r="AF31" s="287">
        <f t="shared" si="24"/>
        <v>0</v>
      </c>
      <c r="AG31" s="288">
        <f t="shared" si="25"/>
        <v>0</v>
      </c>
      <c r="AH31" s="289">
        <f t="shared" si="26"/>
        <v>0</v>
      </c>
      <c r="AI31" s="289">
        <f t="shared" si="27"/>
        <v>0</v>
      </c>
      <c r="AJ31" s="289">
        <f t="shared" si="28"/>
        <v>0.26388510653569525</v>
      </c>
      <c r="AK31" s="288">
        <f t="shared" si="29"/>
        <v>0.26</v>
      </c>
      <c r="AL31" s="289">
        <f t="shared" si="30"/>
        <v>14779.159200000002</v>
      </c>
      <c r="AM31" s="289">
        <f t="shared" si="31"/>
        <v>14779</v>
      </c>
      <c r="AN31" s="218">
        <f>7500/C31/12</f>
        <v>0.13194255326784762</v>
      </c>
      <c r="AO31" s="167">
        <f t="shared" si="32"/>
        <v>0.13</v>
      </c>
      <c r="AP31" s="218">
        <f t="shared" si="51"/>
        <v>7389.579600000001</v>
      </c>
      <c r="AQ31" s="218">
        <f t="shared" si="33"/>
        <v>7390</v>
      </c>
      <c r="AR31" s="218">
        <f t="shared" si="34"/>
        <v>0</v>
      </c>
      <c r="AS31" s="167">
        <f t="shared" si="35"/>
        <v>0</v>
      </c>
      <c r="AT31" s="218">
        <f t="shared" si="36"/>
        <v>0</v>
      </c>
      <c r="AU31" s="218">
        <f t="shared" si="9"/>
        <v>0</v>
      </c>
      <c r="AV31" s="167">
        <f t="shared" si="54"/>
        <v>0</v>
      </c>
      <c r="AW31" s="167">
        <f t="shared" si="37"/>
        <v>0</v>
      </c>
      <c r="AX31" s="218">
        <f t="shared" si="52"/>
        <v>0</v>
      </c>
      <c r="AY31" s="218">
        <f t="shared" si="10"/>
        <v>0</v>
      </c>
      <c r="AZ31" s="218">
        <f t="shared" si="38"/>
        <v>0</v>
      </c>
      <c r="BA31" s="218">
        <f t="shared" si="39"/>
        <v>0</v>
      </c>
      <c r="BB31" s="218">
        <f t="shared" si="40"/>
        <v>0</v>
      </c>
      <c r="BC31" s="218">
        <f t="shared" si="41"/>
        <v>0</v>
      </c>
      <c r="BD31" s="218">
        <f t="shared" si="42"/>
        <v>0</v>
      </c>
      <c r="BE31" s="218">
        <f t="shared" si="43"/>
        <v>0</v>
      </c>
      <c r="BF31" s="218">
        <f t="shared" si="44"/>
        <v>0</v>
      </c>
      <c r="BG31" s="218">
        <f t="shared" si="45"/>
        <v>0</v>
      </c>
      <c r="BH31" s="316">
        <f t="shared" si="53"/>
        <v>4.17184680871426</v>
      </c>
      <c r="BI31" s="212">
        <f t="shared" si="46"/>
        <v>237139.9544</v>
      </c>
      <c r="BJ31" s="281">
        <f t="shared" si="47"/>
        <v>237140</v>
      </c>
    </row>
    <row r="32" spans="1:62" ht="21" customHeight="1">
      <c r="A32" s="205">
        <v>18</v>
      </c>
      <c r="B32" s="319" t="s">
        <v>35</v>
      </c>
      <c r="C32" s="313">
        <v>4639.8</v>
      </c>
      <c r="D32" s="121">
        <f>0/C32/12</f>
        <v>0</v>
      </c>
      <c r="E32" s="132">
        <f t="shared" si="11"/>
        <v>0</v>
      </c>
      <c r="F32" s="132">
        <f t="shared" si="12"/>
        <v>0</v>
      </c>
      <c r="G32" s="130">
        <f t="shared" si="0"/>
        <v>0</v>
      </c>
      <c r="H32" s="232">
        <f t="shared" si="48"/>
        <v>0</v>
      </c>
      <c r="I32" s="132">
        <f t="shared" si="1"/>
        <v>0</v>
      </c>
      <c r="J32" s="130">
        <f>I32*C32*12</f>
        <v>0</v>
      </c>
      <c r="K32" s="130">
        <f t="shared" si="13"/>
        <v>0</v>
      </c>
      <c r="L32" s="232">
        <f t="shared" si="3"/>
        <v>0</v>
      </c>
      <c r="M32" s="167">
        <f t="shared" si="49"/>
        <v>0</v>
      </c>
      <c r="N32" s="130">
        <f t="shared" si="4"/>
        <v>0</v>
      </c>
      <c r="O32" s="130">
        <f t="shared" si="14"/>
        <v>0</v>
      </c>
      <c r="P32" s="232">
        <f t="shared" si="15"/>
        <v>0</v>
      </c>
      <c r="Q32" s="132">
        <f t="shared" si="50"/>
        <v>0</v>
      </c>
      <c r="R32" s="131">
        <f t="shared" si="5"/>
        <v>0</v>
      </c>
      <c r="S32" s="131">
        <f t="shared" si="16"/>
        <v>0</v>
      </c>
      <c r="T32" s="232">
        <f>100000/C32/12</f>
        <v>1.796054427633375</v>
      </c>
      <c r="U32" s="132">
        <v>0</v>
      </c>
      <c r="V32" s="121">
        <f t="shared" si="7"/>
        <v>0</v>
      </c>
      <c r="W32" s="132">
        <f t="shared" si="18"/>
        <v>0</v>
      </c>
      <c r="X32" s="232">
        <f>25000/C32/12</f>
        <v>0.44901360690834374</v>
      </c>
      <c r="Y32" s="132">
        <v>0</v>
      </c>
      <c r="Z32" s="132">
        <f t="shared" si="20"/>
        <v>0</v>
      </c>
      <c r="AA32" s="132">
        <f t="shared" si="21"/>
        <v>0</v>
      </c>
      <c r="AB32" s="167">
        <f>0/C32/12</f>
        <v>0</v>
      </c>
      <c r="AC32" s="132">
        <f t="shared" si="22"/>
        <v>0</v>
      </c>
      <c r="AD32" s="130">
        <f t="shared" si="8"/>
        <v>0</v>
      </c>
      <c r="AE32" s="178">
        <f t="shared" si="23"/>
        <v>0</v>
      </c>
      <c r="AF32" s="287">
        <f t="shared" si="24"/>
        <v>0</v>
      </c>
      <c r="AG32" s="288">
        <f t="shared" si="25"/>
        <v>0</v>
      </c>
      <c r="AH32" s="289">
        <f t="shared" si="26"/>
        <v>0</v>
      </c>
      <c r="AI32" s="289">
        <f t="shared" si="27"/>
        <v>0</v>
      </c>
      <c r="AJ32" s="289">
        <f t="shared" si="28"/>
        <v>0.26940816414500623</v>
      </c>
      <c r="AK32" s="288">
        <v>0</v>
      </c>
      <c r="AL32" s="289">
        <f t="shared" si="30"/>
        <v>0</v>
      </c>
      <c r="AM32" s="289">
        <f t="shared" si="31"/>
        <v>0</v>
      </c>
      <c r="AN32" s="218">
        <f>20000/C32/12</f>
        <v>0.35921088552667496</v>
      </c>
      <c r="AO32" s="167">
        <v>0</v>
      </c>
      <c r="AP32" s="218">
        <f t="shared" si="51"/>
        <v>0</v>
      </c>
      <c r="AQ32" s="218">
        <f t="shared" si="33"/>
        <v>0</v>
      </c>
      <c r="AR32" s="218">
        <f t="shared" si="34"/>
        <v>0</v>
      </c>
      <c r="AS32" s="167">
        <f t="shared" si="35"/>
        <v>0</v>
      </c>
      <c r="AT32" s="218">
        <f t="shared" si="36"/>
        <v>0</v>
      </c>
      <c r="AU32" s="218">
        <f t="shared" si="9"/>
        <v>0</v>
      </c>
      <c r="AV32" s="167">
        <f t="shared" si="54"/>
        <v>0</v>
      </c>
      <c r="AW32" s="167">
        <f t="shared" si="37"/>
        <v>0</v>
      </c>
      <c r="AX32" s="218">
        <f t="shared" si="52"/>
        <v>0</v>
      </c>
      <c r="AY32" s="218">
        <f t="shared" si="10"/>
        <v>0</v>
      </c>
      <c r="AZ32" s="218">
        <f t="shared" si="38"/>
        <v>0</v>
      </c>
      <c r="BA32" s="218">
        <f t="shared" si="39"/>
        <v>0</v>
      </c>
      <c r="BB32" s="218">
        <f t="shared" si="40"/>
        <v>0</v>
      </c>
      <c r="BC32" s="218">
        <f t="shared" si="41"/>
        <v>0</v>
      </c>
      <c r="BD32" s="218">
        <f t="shared" si="42"/>
        <v>0</v>
      </c>
      <c r="BE32" s="218">
        <f t="shared" si="43"/>
        <v>0</v>
      </c>
      <c r="BF32" s="218">
        <f t="shared" si="44"/>
        <v>0</v>
      </c>
      <c r="BG32" s="218">
        <f t="shared" si="45"/>
        <v>0</v>
      </c>
      <c r="BH32" s="316">
        <f t="shared" si="53"/>
        <v>0</v>
      </c>
      <c r="BI32" s="212">
        <f t="shared" si="46"/>
        <v>0</v>
      </c>
      <c r="BJ32" s="281">
        <f t="shared" si="47"/>
        <v>0</v>
      </c>
    </row>
    <row r="33" spans="1:62" ht="21" customHeight="1">
      <c r="A33" s="207">
        <v>19</v>
      </c>
      <c r="B33" s="319" t="s">
        <v>36</v>
      </c>
      <c r="C33" s="313">
        <v>3669.8</v>
      </c>
      <c r="D33" s="121">
        <f>25000/C33/12</f>
        <v>0.5676966955510745</v>
      </c>
      <c r="E33" s="132">
        <f t="shared" si="11"/>
        <v>0.57</v>
      </c>
      <c r="F33" s="132">
        <f t="shared" si="12"/>
        <v>25101.432</v>
      </c>
      <c r="G33" s="130">
        <f t="shared" si="0"/>
        <v>25101</v>
      </c>
      <c r="H33" s="232">
        <f t="shared" si="48"/>
        <v>0</v>
      </c>
      <c r="I33" s="130">
        <f>ROUND(H33,1)</f>
        <v>0</v>
      </c>
      <c r="J33" s="130">
        <f t="shared" si="2"/>
        <v>0</v>
      </c>
      <c r="K33" s="130">
        <f t="shared" si="13"/>
        <v>0</v>
      </c>
      <c r="L33" s="232">
        <f>11000/C33/12</f>
        <v>0.24978654604247277</v>
      </c>
      <c r="M33" s="167">
        <f t="shared" si="49"/>
        <v>0.25</v>
      </c>
      <c r="N33" s="130">
        <f t="shared" si="4"/>
        <v>11009.400000000001</v>
      </c>
      <c r="O33" s="130">
        <f t="shared" si="14"/>
        <v>11009</v>
      </c>
      <c r="P33" s="232">
        <f>15000/C33/12</f>
        <v>0.34061801733064473</v>
      </c>
      <c r="Q33" s="132">
        <f t="shared" si="50"/>
        <v>0.34</v>
      </c>
      <c r="R33" s="131">
        <f t="shared" si="5"/>
        <v>14972.784000000003</v>
      </c>
      <c r="S33" s="131">
        <f t="shared" si="16"/>
        <v>14973</v>
      </c>
      <c r="T33" s="232">
        <f>90000/C33/12</f>
        <v>2.0437081039838683</v>
      </c>
      <c r="U33" s="132">
        <f t="shared" si="6"/>
        <v>2.04</v>
      </c>
      <c r="V33" s="121">
        <f t="shared" si="7"/>
        <v>89836.70400000001</v>
      </c>
      <c r="W33" s="132">
        <f t="shared" si="18"/>
        <v>89837</v>
      </c>
      <c r="X33" s="232">
        <f>15000/C33/12</f>
        <v>0.34061801733064473</v>
      </c>
      <c r="Y33" s="132">
        <f t="shared" si="19"/>
        <v>0.34</v>
      </c>
      <c r="Z33" s="132">
        <f t="shared" si="20"/>
        <v>14972.784000000003</v>
      </c>
      <c r="AA33" s="132">
        <f t="shared" si="21"/>
        <v>14973</v>
      </c>
      <c r="AB33" s="167">
        <f>20000/C33/12</f>
        <v>0.45415735644085964</v>
      </c>
      <c r="AC33" s="132">
        <f t="shared" si="22"/>
        <v>0.45</v>
      </c>
      <c r="AD33" s="130">
        <f t="shared" si="8"/>
        <v>19816.920000000002</v>
      </c>
      <c r="AE33" s="178">
        <f t="shared" si="23"/>
        <v>19817</v>
      </c>
      <c r="AF33" s="287">
        <f t="shared" si="24"/>
        <v>0</v>
      </c>
      <c r="AG33" s="288">
        <f t="shared" si="25"/>
        <v>0</v>
      </c>
      <c r="AH33" s="289">
        <f t="shared" si="26"/>
        <v>0</v>
      </c>
      <c r="AI33" s="287">
        <f t="shared" si="27"/>
        <v>0</v>
      </c>
      <c r="AJ33" s="289">
        <f aca="true" t="shared" si="55" ref="AJ33:AJ38">15000/C33/12</f>
        <v>0.34061801733064473</v>
      </c>
      <c r="AK33" s="288">
        <f t="shared" si="29"/>
        <v>0.34</v>
      </c>
      <c r="AL33" s="289">
        <f t="shared" si="30"/>
        <v>14972.784000000003</v>
      </c>
      <c r="AM33" s="289">
        <f t="shared" si="31"/>
        <v>14973</v>
      </c>
      <c r="AN33" s="218">
        <f aca="true" t="shared" si="56" ref="AN33:AN40">0/C33/12</f>
        <v>0</v>
      </c>
      <c r="AO33" s="167">
        <f t="shared" si="32"/>
        <v>0</v>
      </c>
      <c r="AP33" s="218">
        <f t="shared" si="51"/>
        <v>0</v>
      </c>
      <c r="AQ33" s="218">
        <f t="shared" si="33"/>
        <v>0</v>
      </c>
      <c r="AR33" s="218">
        <f t="shared" si="34"/>
        <v>0</v>
      </c>
      <c r="AS33" s="167">
        <f t="shared" si="35"/>
        <v>0</v>
      </c>
      <c r="AT33" s="218">
        <f t="shared" si="36"/>
        <v>0</v>
      </c>
      <c r="AU33" s="218">
        <f t="shared" si="9"/>
        <v>0</v>
      </c>
      <c r="AV33" s="167">
        <f>7000/C33/12</f>
        <v>0.15895507475430085</v>
      </c>
      <c r="AW33" s="167">
        <f t="shared" si="37"/>
        <v>0.15895507475430085</v>
      </c>
      <c r="AX33" s="218">
        <f t="shared" si="52"/>
        <v>6999.999999999999</v>
      </c>
      <c r="AY33" s="218">
        <f t="shared" si="10"/>
        <v>7000</v>
      </c>
      <c r="AZ33" s="218">
        <f t="shared" si="38"/>
        <v>0</v>
      </c>
      <c r="BA33" s="218">
        <f t="shared" si="39"/>
        <v>0</v>
      </c>
      <c r="BB33" s="218">
        <f t="shared" si="40"/>
        <v>0</v>
      </c>
      <c r="BC33" s="218">
        <f t="shared" si="41"/>
        <v>0</v>
      </c>
      <c r="BD33" s="218">
        <f>24684/C33/12</f>
        <v>0.5605210093193089</v>
      </c>
      <c r="BE33" s="218">
        <f>BD33+ROUND(0,0)</f>
        <v>0.5605210093193089</v>
      </c>
      <c r="BF33" s="218">
        <f t="shared" si="44"/>
        <v>24684</v>
      </c>
      <c r="BG33" s="218">
        <f>BF33+ROUND(0,0)</f>
        <v>24684</v>
      </c>
      <c r="BH33" s="316">
        <f t="shared" si="53"/>
        <v>5.049476084073611</v>
      </c>
      <c r="BI33" s="212">
        <f t="shared" si="46"/>
        <v>222366.80800000002</v>
      </c>
      <c r="BJ33" s="281">
        <f t="shared" si="47"/>
        <v>222367</v>
      </c>
    </row>
    <row r="34" spans="1:62" ht="21" customHeight="1">
      <c r="A34" s="207">
        <v>20</v>
      </c>
      <c r="B34" s="319" t="s">
        <v>37</v>
      </c>
      <c r="C34" s="313">
        <v>1487.25</v>
      </c>
      <c r="D34" s="121">
        <f>0/C34/12</f>
        <v>0</v>
      </c>
      <c r="E34" s="132">
        <f t="shared" si="11"/>
        <v>0</v>
      </c>
      <c r="F34" s="132">
        <f t="shared" si="12"/>
        <v>0</v>
      </c>
      <c r="G34" s="130">
        <f t="shared" si="0"/>
        <v>0</v>
      </c>
      <c r="H34" s="232">
        <f t="shared" si="48"/>
        <v>0</v>
      </c>
      <c r="I34" s="130">
        <f>ROUND(H34,1)</f>
        <v>0</v>
      </c>
      <c r="J34" s="130">
        <f t="shared" si="2"/>
        <v>0</v>
      </c>
      <c r="K34" s="130">
        <f t="shared" si="13"/>
        <v>0</v>
      </c>
      <c r="L34" s="232">
        <f t="shared" si="3"/>
        <v>0</v>
      </c>
      <c r="M34" s="167">
        <f t="shared" si="49"/>
        <v>0</v>
      </c>
      <c r="N34" s="130">
        <f t="shared" si="4"/>
        <v>0</v>
      </c>
      <c r="O34" s="130">
        <f t="shared" si="14"/>
        <v>0</v>
      </c>
      <c r="P34" s="232">
        <f t="shared" si="15"/>
        <v>0</v>
      </c>
      <c r="Q34" s="132">
        <f t="shared" si="50"/>
        <v>0</v>
      </c>
      <c r="R34" s="131">
        <f t="shared" si="5"/>
        <v>0</v>
      </c>
      <c r="S34" s="131">
        <f t="shared" si="16"/>
        <v>0</v>
      </c>
      <c r="T34" s="232">
        <f t="shared" si="17"/>
        <v>0</v>
      </c>
      <c r="U34" s="132">
        <f t="shared" si="6"/>
        <v>0</v>
      </c>
      <c r="V34" s="121">
        <f t="shared" si="7"/>
        <v>0</v>
      </c>
      <c r="W34" s="132">
        <f t="shared" si="18"/>
        <v>0</v>
      </c>
      <c r="X34" s="232">
        <f>11000/C34/12</f>
        <v>0.6163500868493305</v>
      </c>
      <c r="Y34" s="132">
        <f t="shared" si="19"/>
        <v>0.62</v>
      </c>
      <c r="Z34" s="132">
        <f t="shared" si="20"/>
        <v>11065.14</v>
      </c>
      <c r="AA34" s="132">
        <f t="shared" si="21"/>
        <v>11065</v>
      </c>
      <c r="AB34" s="167">
        <f>14000/C34/12</f>
        <v>0.784445565080966</v>
      </c>
      <c r="AC34" s="132">
        <f t="shared" si="22"/>
        <v>0.78</v>
      </c>
      <c r="AD34" s="130">
        <f t="shared" si="8"/>
        <v>13920.66</v>
      </c>
      <c r="AE34" s="178">
        <f t="shared" si="23"/>
        <v>13921</v>
      </c>
      <c r="AF34" s="287">
        <f t="shared" si="24"/>
        <v>0</v>
      </c>
      <c r="AG34" s="288">
        <f t="shared" si="25"/>
        <v>0</v>
      </c>
      <c r="AH34" s="289">
        <f t="shared" si="26"/>
        <v>0</v>
      </c>
      <c r="AI34" s="287">
        <f t="shared" si="27"/>
        <v>0</v>
      </c>
      <c r="AJ34" s="289">
        <f t="shared" si="55"/>
        <v>0.8404773911581779</v>
      </c>
      <c r="AK34" s="288">
        <f t="shared" si="29"/>
        <v>0.84</v>
      </c>
      <c r="AL34" s="289">
        <f t="shared" si="30"/>
        <v>14991.48</v>
      </c>
      <c r="AM34" s="289">
        <f t="shared" si="31"/>
        <v>14991</v>
      </c>
      <c r="AN34" s="218">
        <f t="shared" si="56"/>
        <v>0</v>
      </c>
      <c r="AO34" s="167">
        <f t="shared" si="32"/>
        <v>0</v>
      </c>
      <c r="AP34" s="218">
        <f t="shared" si="51"/>
        <v>0</v>
      </c>
      <c r="AQ34" s="218">
        <f t="shared" si="33"/>
        <v>0</v>
      </c>
      <c r="AR34" s="218">
        <f t="shared" si="34"/>
        <v>0</v>
      </c>
      <c r="AS34" s="167">
        <f t="shared" si="35"/>
        <v>0</v>
      </c>
      <c r="AT34" s="218">
        <f t="shared" si="36"/>
        <v>0</v>
      </c>
      <c r="AU34" s="218">
        <f t="shared" si="9"/>
        <v>0</v>
      </c>
      <c r="AV34" s="167">
        <f>3000/C34/12</f>
        <v>0.1680954782316356</v>
      </c>
      <c r="AW34" s="167">
        <f t="shared" si="37"/>
        <v>0.1680954782316356</v>
      </c>
      <c r="AX34" s="218">
        <f t="shared" si="52"/>
        <v>3000.0000000000005</v>
      </c>
      <c r="AY34" s="218">
        <f t="shared" si="10"/>
        <v>3000</v>
      </c>
      <c r="AZ34" s="218">
        <f t="shared" si="38"/>
        <v>0</v>
      </c>
      <c r="BA34" s="218">
        <f t="shared" si="39"/>
        <v>0</v>
      </c>
      <c r="BB34" s="218">
        <f t="shared" si="40"/>
        <v>0</v>
      </c>
      <c r="BC34" s="218">
        <f t="shared" si="41"/>
        <v>0</v>
      </c>
      <c r="BD34" s="218">
        <f>37257/C34/12</f>
        <v>2.0875777441586822</v>
      </c>
      <c r="BE34" s="218">
        <f aca="true" t="shared" si="57" ref="BE34:BE39">BD34+ROUND(0,0)</f>
        <v>2.0875777441586822</v>
      </c>
      <c r="BF34" s="218">
        <f t="shared" si="44"/>
        <v>37257</v>
      </c>
      <c r="BG34" s="218">
        <f aca="true" t="shared" si="58" ref="BG34:BG39">BF34+ROUND(0,0)</f>
        <v>37257</v>
      </c>
      <c r="BH34" s="316">
        <f t="shared" si="53"/>
        <v>4.495673222390318</v>
      </c>
      <c r="BI34" s="212">
        <f t="shared" si="46"/>
        <v>80234.28</v>
      </c>
      <c r="BJ34" s="281">
        <f t="shared" si="47"/>
        <v>80234</v>
      </c>
    </row>
    <row r="35" spans="1:62" ht="21" customHeight="1">
      <c r="A35" s="207">
        <v>21</v>
      </c>
      <c r="B35" s="319" t="s">
        <v>38</v>
      </c>
      <c r="C35" s="313">
        <v>3662.9</v>
      </c>
      <c r="D35" s="121">
        <f>15000/C35/12</f>
        <v>0.3412596576483114</v>
      </c>
      <c r="E35" s="132">
        <f t="shared" si="11"/>
        <v>0.34</v>
      </c>
      <c r="F35" s="132">
        <f t="shared" si="12"/>
        <v>14944.632000000001</v>
      </c>
      <c r="G35" s="130">
        <f t="shared" si="0"/>
        <v>14945</v>
      </c>
      <c r="H35" s="232">
        <f>17000/C35/12</f>
        <v>0.38676094533475297</v>
      </c>
      <c r="I35" s="130">
        <f>ROUND(H35,1)</f>
        <v>0.4</v>
      </c>
      <c r="J35" s="130">
        <f t="shared" si="2"/>
        <v>17581.920000000002</v>
      </c>
      <c r="K35" s="130">
        <f t="shared" si="13"/>
        <v>17582</v>
      </c>
      <c r="L35" s="232">
        <f>11000/C35/12</f>
        <v>0.25025708227542837</v>
      </c>
      <c r="M35" s="167">
        <f t="shared" si="49"/>
        <v>0.25</v>
      </c>
      <c r="N35" s="130">
        <f t="shared" si="4"/>
        <v>10988.7</v>
      </c>
      <c r="O35" s="130">
        <f t="shared" si="14"/>
        <v>10989</v>
      </c>
      <c r="P35" s="232">
        <f>15000/C35/12</f>
        <v>0.3412596576483114</v>
      </c>
      <c r="Q35" s="132">
        <f t="shared" si="50"/>
        <v>0.34</v>
      </c>
      <c r="R35" s="131">
        <f t="shared" si="5"/>
        <v>14944.632000000001</v>
      </c>
      <c r="S35" s="131">
        <f t="shared" si="16"/>
        <v>14945</v>
      </c>
      <c r="T35" s="232">
        <f>90000/C35/12</f>
        <v>2.0475579458898685</v>
      </c>
      <c r="U35" s="132">
        <f t="shared" si="6"/>
        <v>2.05</v>
      </c>
      <c r="V35" s="121">
        <f t="shared" si="7"/>
        <v>90107.34</v>
      </c>
      <c r="W35" s="132">
        <f t="shared" si="18"/>
        <v>90107</v>
      </c>
      <c r="X35" s="232">
        <f>48000/C35/12</f>
        <v>1.0920309044745966</v>
      </c>
      <c r="Y35" s="132">
        <f t="shared" si="19"/>
        <v>1.09</v>
      </c>
      <c r="Z35" s="132">
        <f t="shared" si="20"/>
        <v>47910.732</v>
      </c>
      <c r="AA35" s="132">
        <f t="shared" si="21"/>
        <v>47911</v>
      </c>
      <c r="AB35" s="167">
        <f>10000/C35/12</f>
        <v>0.22750643843220764</v>
      </c>
      <c r="AC35" s="132">
        <f t="shared" si="22"/>
        <v>0.23</v>
      </c>
      <c r="AD35" s="130">
        <f t="shared" si="8"/>
        <v>10109.604000000001</v>
      </c>
      <c r="AE35" s="178">
        <f t="shared" si="23"/>
        <v>10110</v>
      </c>
      <c r="AF35" s="287">
        <f t="shared" si="24"/>
        <v>0</v>
      </c>
      <c r="AG35" s="288">
        <f t="shared" si="25"/>
        <v>0</v>
      </c>
      <c r="AH35" s="289">
        <f t="shared" si="26"/>
        <v>0</v>
      </c>
      <c r="AI35" s="287">
        <f t="shared" si="27"/>
        <v>0</v>
      </c>
      <c r="AJ35" s="289">
        <f t="shared" si="55"/>
        <v>0.3412596576483114</v>
      </c>
      <c r="AK35" s="288">
        <f t="shared" si="29"/>
        <v>0.34</v>
      </c>
      <c r="AL35" s="289">
        <f t="shared" si="30"/>
        <v>14944.632000000001</v>
      </c>
      <c r="AM35" s="289">
        <f t="shared" si="31"/>
        <v>14945</v>
      </c>
      <c r="AN35" s="218">
        <f t="shared" si="56"/>
        <v>0</v>
      </c>
      <c r="AO35" s="167">
        <f t="shared" si="32"/>
        <v>0</v>
      </c>
      <c r="AP35" s="218">
        <f t="shared" si="51"/>
        <v>0</v>
      </c>
      <c r="AQ35" s="218">
        <f t="shared" si="33"/>
        <v>0</v>
      </c>
      <c r="AR35" s="218">
        <f t="shared" si="34"/>
        <v>0</v>
      </c>
      <c r="AS35" s="167">
        <f t="shared" si="35"/>
        <v>0</v>
      </c>
      <c r="AT35" s="218">
        <f t="shared" si="36"/>
        <v>0</v>
      </c>
      <c r="AU35" s="218">
        <f t="shared" si="9"/>
        <v>0</v>
      </c>
      <c r="AV35" s="167">
        <f>7000/C35/12</f>
        <v>0.15925450690254533</v>
      </c>
      <c r="AW35" s="167">
        <f t="shared" si="37"/>
        <v>0.15925450690254533</v>
      </c>
      <c r="AX35" s="218">
        <f t="shared" si="52"/>
        <v>7000</v>
      </c>
      <c r="AY35" s="218">
        <f t="shared" si="10"/>
        <v>7000</v>
      </c>
      <c r="AZ35" s="218">
        <f t="shared" si="38"/>
        <v>0</v>
      </c>
      <c r="BA35" s="218">
        <f t="shared" si="39"/>
        <v>0</v>
      </c>
      <c r="BB35" s="218">
        <f t="shared" si="40"/>
        <v>0</v>
      </c>
      <c r="BC35" s="218">
        <f t="shared" si="41"/>
        <v>0</v>
      </c>
      <c r="BD35" s="218">
        <f>23407/C35/12</f>
        <v>0.5325243204382684</v>
      </c>
      <c r="BE35" s="218">
        <f t="shared" si="57"/>
        <v>0.5325243204382684</v>
      </c>
      <c r="BF35" s="218">
        <f t="shared" si="44"/>
        <v>23407</v>
      </c>
      <c r="BG35" s="218">
        <f t="shared" si="58"/>
        <v>23407</v>
      </c>
      <c r="BH35" s="316">
        <f t="shared" si="53"/>
        <v>5.718539772675567</v>
      </c>
      <c r="BI35" s="212">
        <f t="shared" si="46"/>
        <v>251357.27200000003</v>
      </c>
      <c r="BJ35" s="281">
        <f t="shared" si="47"/>
        <v>251357</v>
      </c>
    </row>
    <row r="36" spans="1:62" ht="21" customHeight="1">
      <c r="A36" s="207">
        <v>22</v>
      </c>
      <c r="B36" s="319" t="s">
        <v>39</v>
      </c>
      <c r="C36" s="313">
        <v>1479.8</v>
      </c>
      <c r="D36" s="121">
        <f>12000/C36/12</f>
        <v>0.6757669955399379</v>
      </c>
      <c r="E36" s="132">
        <f t="shared" si="11"/>
        <v>0.68</v>
      </c>
      <c r="F36" s="132">
        <f t="shared" si="12"/>
        <v>12075.168</v>
      </c>
      <c r="G36" s="130">
        <f t="shared" si="0"/>
        <v>12075</v>
      </c>
      <c r="H36" s="232">
        <f>10000/C36/12</f>
        <v>0.5631391629499481</v>
      </c>
      <c r="I36" s="130">
        <f>ROUND(H36,1)</f>
        <v>0.6</v>
      </c>
      <c r="J36" s="130">
        <f t="shared" si="2"/>
        <v>10654.56</v>
      </c>
      <c r="K36" s="130">
        <f t="shared" si="13"/>
        <v>10655</v>
      </c>
      <c r="L36" s="232">
        <f t="shared" si="3"/>
        <v>0</v>
      </c>
      <c r="M36" s="167">
        <f t="shared" si="49"/>
        <v>0</v>
      </c>
      <c r="N36" s="130">
        <f t="shared" si="4"/>
        <v>0</v>
      </c>
      <c r="O36" s="130">
        <f t="shared" si="14"/>
        <v>0</v>
      </c>
      <c r="P36" s="232">
        <f t="shared" si="15"/>
        <v>0</v>
      </c>
      <c r="Q36" s="132">
        <f t="shared" si="50"/>
        <v>0</v>
      </c>
      <c r="R36" s="131">
        <f t="shared" si="5"/>
        <v>0</v>
      </c>
      <c r="S36" s="131">
        <f t="shared" si="16"/>
        <v>0</v>
      </c>
      <c r="T36" s="232">
        <f>75000/C36/12</f>
        <v>4.223543722124611</v>
      </c>
      <c r="U36" s="132">
        <f t="shared" si="6"/>
        <v>4.22</v>
      </c>
      <c r="V36" s="121">
        <f t="shared" si="7"/>
        <v>74937.07199999999</v>
      </c>
      <c r="W36" s="132">
        <f t="shared" si="18"/>
        <v>74937</v>
      </c>
      <c r="X36" s="232">
        <f>22000/C36/12</f>
        <v>1.238906158489886</v>
      </c>
      <c r="Y36" s="132">
        <f t="shared" si="19"/>
        <v>1.24</v>
      </c>
      <c r="Z36" s="132">
        <f t="shared" si="20"/>
        <v>22019.424</v>
      </c>
      <c r="AA36" s="132">
        <f t="shared" si="21"/>
        <v>22019</v>
      </c>
      <c r="AB36" s="167">
        <f>14000/C36/12</f>
        <v>0.7883948281299276</v>
      </c>
      <c r="AC36" s="132">
        <f t="shared" si="22"/>
        <v>0.79</v>
      </c>
      <c r="AD36" s="130">
        <f t="shared" si="8"/>
        <v>14028.503999999999</v>
      </c>
      <c r="AE36" s="178">
        <f t="shared" si="23"/>
        <v>14029</v>
      </c>
      <c r="AF36" s="287">
        <f t="shared" si="24"/>
        <v>0</v>
      </c>
      <c r="AG36" s="288">
        <f t="shared" si="25"/>
        <v>0</v>
      </c>
      <c r="AH36" s="289">
        <f t="shared" si="26"/>
        <v>0</v>
      </c>
      <c r="AI36" s="287">
        <f t="shared" si="27"/>
        <v>0</v>
      </c>
      <c r="AJ36" s="289">
        <f t="shared" si="55"/>
        <v>0.8447087444249224</v>
      </c>
      <c r="AK36" s="288"/>
      <c r="AL36" s="289">
        <f t="shared" si="30"/>
        <v>0</v>
      </c>
      <c r="AM36" s="289">
        <f t="shared" si="31"/>
        <v>0</v>
      </c>
      <c r="AN36" s="218">
        <f t="shared" si="56"/>
        <v>0</v>
      </c>
      <c r="AO36" s="167">
        <f t="shared" si="32"/>
        <v>0</v>
      </c>
      <c r="AP36" s="218">
        <f t="shared" si="51"/>
        <v>0</v>
      </c>
      <c r="AQ36" s="218">
        <f t="shared" si="33"/>
        <v>0</v>
      </c>
      <c r="AR36" s="218">
        <f t="shared" si="34"/>
        <v>0</v>
      </c>
      <c r="AS36" s="167">
        <f t="shared" si="35"/>
        <v>0</v>
      </c>
      <c r="AT36" s="218">
        <f t="shared" si="36"/>
        <v>0</v>
      </c>
      <c r="AU36" s="218">
        <f t="shared" si="9"/>
        <v>0</v>
      </c>
      <c r="AV36" s="167">
        <f>3000/C36/12</f>
        <v>0.16894174888498448</v>
      </c>
      <c r="AW36" s="167">
        <f t="shared" si="37"/>
        <v>0.16894174888498448</v>
      </c>
      <c r="AX36" s="218">
        <f t="shared" si="52"/>
        <v>3000.0000000000005</v>
      </c>
      <c r="AY36" s="218">
        <f t="shared" si="10"/>
        <v>3000</v>
      </c>
      <c r="AZ36" s="218">
        <f t="shared" si="38"/>
        <v>0</v>
      </c>
      <c r="BA36" s="218">
        <f t="shared" si="39"/>
        <v>0</v>
      </c>
      <c r="BB36" s="218">
        <f t="shared" si="40"/>
        <v>0</v>
      </c>
      <c r="BC36" s="218">
        <f t="shared" si="41"/>
        <v>0</v>
      </c>
      <c r="BD36" s="218">
        <f>35904/C36/12</f>
        <v>2.021894850655494</v>
      </c>
      <c r="BE36" s="218">
        <f t="shared" si="57"/>
        <v>2.021894850655494</v>
      </c>
      <c r="BF36" s="218">
        <f t="shared" si="44"/>
        <v>35904</v>
      </c>
      <c r="BG36" s="218">
        <f t="shared" si="58"/>
        <v>35904</v>
      </c>
      <c r="BH36" s="316">
        <f t="shared" si="53"/>
        <v>9.683975762490427</v>
      </c>
      <c r="BI36" s="212">
        <f t="shared" si="46"/>
        <v>171964.168</v>
      </c>
      <c r="BJ36" s="281">
        <f t="shared" si="47"/>
        <v>171964</v>
      </c>
    </row>
    <row r="37" spans="1:62" ht="21" customHeight="1">
      <c r="A37" s="207">
        <v>23</v>
      </c>
      <c r="B37" s="319" t="s">
        <v>40</v>
      </c>
      <c r="C37" s="313">
        <v>3348.9</v>
      </c>
      <c r="D37" s="121">
        <f>0/C37/12</f>
        <v>0</v>
      </c>
      <c r="E37" s="132">
        <f t="shared" si="11"/>
        <v>0</v>
      </c>
      <c r="F37" s="132">
        <f t="shared" si="12"/>
        <v>0</v>
      </c>
      <c r="G37" s="130">
        <f t="shared" si="0"/>
        <v>0</v>
      </c>
      <c r="H37" s="232">
        <f t="shared" si="48"/>
        <v>0</v>
      </c>
      <c r="I37" s="130">
        <f>ROUND(H37,1)</f>
        <v>0</v>
      </c>
      <c r="J37" s="130">
        <f t="shared" si="2"/>
        <v>0</v>
      </c>
      <c r="K37" s="130">
        <f t="shared" si="13"/>
        <v>0</v>
      </c>
      <c r="L37" s="232">
        <f t="shared" si="3"/>
        <v>0</v>
      </c>
      <c r="M37" s="167">
        <f t="shared" si="49"/>
        <v>0</v>
      </c>
      <c r="N37" s="130">
        <f t="shared" si="4"/>
        <v>0</v>
      </c>
      <c r="O37" s="130">
        <f t="shared" si="14"/>
        <v>0</v>
      </c>
      <c r="P37" s="232">
        <f t="shared" si="15"/>
        <v>0</v>
      </c>
      <c r="Q37" s="132">
        <f t="shared" si="50"/>
        <v>0</v>
      </c>
      <c r="R37" s="131">
        <f t="shared" si="5"/>
        <v>0</v>
      </c>
      <c r="S37" s="131">
        <f t="shared" si="16"/>
        <v>0</v>
      </c>
      <c r="T37" s="232">
        <f t="shared" si="17"/>
        <v>0</v>
      </c>
      <c r="U37" s="132">
        <f t="shared" si="6"/>
        <v>0</v>
      </c>
      <c r="V37" s="121">
        <f t="shared" si="7"/>
        <v>0</v>
      </c>
      <c r="W37" s="132">
        <f t="shared" si="18"/>
        <v>0</v>
      </c>
      <c r="X37" s="232">
        <f>0/C37/12</f>
        <v>0</v>
      </c>
      <c r="Y37" s="132">
        <f t="shared" si="19"/>
        <v>0</v>
      </c>
      <c r="Z37" s="132">
        <f t="shared" si="20"/>
        <v>0</v>
      </c>
      <c r="AA37" s="132">
        <f t="shared" si="21"/>
        <v>0</v>
      </c>
      <c r="AB37" s="167">
        <f>19000/C37/12</f>
        <v>0.4727920610747807</v>
      </c>
      <c r="AC37" s="132">
        <f t="shared" si="22"/>
        <v>0.47</v>
      </c>
      <c r="AD37" s="130">
        <f t="shared" si="8"/>
        <v>18887.796</v>
      </c>
      <c r="AE37" s="178">
        <f t="shared" si="23"/>
        <v>18888</v>
      </c>
      <c r="AF37" s="287">
        <f t="shared" si="24"/>
        <v>0</v>
      </c>
      <c r="AG37" s="288">
        <f t="shared" si="25"/>
        <v>0</v>
      </c>
      <c r="AH37" s="289">
        <f t="shared" si="26"/>
        <v>0</v>
      </c>
      <c r="AI37" s="287">
        <f t="shared" si="27"/>
        <v>0</v>
      </c>
      <c r="AJ37" s="289">
        <f t="shared" si="55"/>
        <v>0.37325689032219533</v>
      </c>
      <c r="AK37" s="288">
        <f t="shared" si="29"/>
        <v>0.37</v>
      </c>
      <c r="AL37" s="289">
        <f t="shared" si="30"/>
        <v>14869.116000000002</v>
      </c>
      <c r="AM37" s="289">
        <f t="shared" si="31"/>
        <v>14869</v>
      </c>
      <c r="AN37" s="218">
        <f t="shared" si="56"/>
        <v>0</v>
      </c>
      <c r="AO37" s="167">
        <f t="shared" si="32"/>
        <v>0</v>
      </c>
      <c r="AP37" s="218">
        <f t="shared" si="51"/>
        <v>0</v>
      </c>
      <c r="AQ37" s="218">
        <f t="shared" si="33"/>
        <v>0</v>
      </c>
      <c r="AR37" s="218">
        <f t="shared" si="34"/>
        <v>0</v>
      </c>
      <c r="AS37" s="167">
        <f t="shared" si="35"/>
        <v>0</v>
      </c>
      <c r="AT37" s="218">
        <f t="shared" si="36"/>
        <v>0</v>
      </c>
      <c r="AU37" s="218">
        <f t="shared" si="9"/>
        <v>0</v>
      </c>
      <c r="AV37" s="167">
        <f>6000/C37/12</f>
        <v>0.14930275612887814</v>
      </c>
      <c r="AW37" s="167">
        <f t="shared" si="37"/>
        <v>0.14930275612887814</v>
      </c>
      <c r="AX37" s="218">
        <f t="shared" si="52"/>
        <v>6000</v>
      </c>
      <c r="AY37" s="218">
        <f t="shared" si="10"/>
        <v>6000</v>
      </c>
      <c r="AZ37" s="218">
        <f t="shared" si="38"/>
        <v>0</v>
      </c>
      <c r="BA37" s="218">
        <f t="shared" si="39"/>
        <v>0</v>
      </c>
      <c r="BB37" s="218">
        <f t="shared" si="40"/>
        <v>0</v>
      </c>
      <c r="BC37" s="218">
        <f t="shared" si="41"/>
        <v>0</v>
      </c>
      <c r="BD37" s="218">
        <f>10449/C37/12</f>
        <v>0.26001074979844124</v>
      </c>
      <c r="BE37" s="218">
        <f t="shared" si="57"/>
        <v>0.26001074979844124</v>
      </c>
      <c r="BF37" s="218">
        <f t="shared" si="44"/>
        <v>10448.999999999998</v>
      </c>
      <c r="BG37" s="218">
        <f t="shared" si="58"/>
        <v>10448.999999999998</v>
      </c>
      <c r="BH37" s="316">
        <f t="shared" si="53"/>
        <v>1.2493135059273195</v>
      </c>
      <c r="BI37" s="212">
        <f t="shared" si="46"/>
        <v>50205.912</v>
      </c>
      <c r="BJ37" s="281">
        <f t="shared" si="47"/>
        <v>50206</v>
      </c>
    </row>
    <row r="38" spans="1:62" ht="21" customHeight="1">
      <c r="A38" s="207">
        <v>24</v>
      </c>
      <c r="B38" s="319" t="s">
        <v>41</v>
      </c>
      <c r="C38" s="313">
        <v>3671</v>
      </c>
      <c r="D38" s="121">
        <f>15000/C38/12</f>
        <v>0.3405066739308091</v>
      </c>
      <c r="E38" s="132">
        <f t="shared" si="11"/>
        <v>0.34</v>
      </c>
      <c r="F38" s="132">
        <f t="shared" si="12"/>
        <v>14977.68</v>
      </c>
      <c r="G38" s="130">
        <f t="shared" si="0"/>
        <v>14978</v>
      </c>
      <c r="H38" s="232">
        <f>10000/C38/12</f>
        <v>0.227004449287206</v>
      </c>
      <c r="I38" s="132">
        <v>0.23</v>
      </c>
      <c r="J38" s="130">
        <f t="shared" si="2"/>
        <v>10131.960000000001</v>
      </c>
      <c r="K38" s="130">
        <f t="shared" si="13"/>
        <v>10132</v>
      </c>
      <c r="L38" s="232">
        <f t="shared" si="3"/>
        <v>0</v>
      </c>
      <c r="M38" s="167">
        <f t="shared" si="49"/>
        <v>0</v>
      </c>
      <c r="N38" s="130">
        <f t="shared" si="4"/>
        <v>0</v>
      </c>
      <c r="O38" s="130">
        <f t="shared" si="14"/>
        <v>0</v>
      </c>
      <c r="P38" s="232">
        <f t="shared" si="15"/>
        <v>0</v>
      </c>
      <c r="Q38" s="132">
        <f t="shared" si="50"/>
        <v>0</v>
      </c>
      <c r="R38" s="131">
        <f t="shared" si="5"/>
        <v>0</v>
      </c>
      <c r="S38" s="131">
        <f t="shared" si="16"/>
        <v>0</v>
      </c>
      <c r="T38" s="232">
        <f t="shared" si="17"/>
        <v>0</v>
      </c>
      <c r="U38" s="132">
        <f t="shared" si="6"/>
        <v>0</v>
      </c>
      <c r="V38" s="121">
        <f t="shared" si="7"/>
        <v>0</v>
      </c>
      <c r="W38" s="132">
        <f t="shared" si="18"/>
        <v>0</v>
      </c>
      <c r="X38" s="232">
        <f>0/C38/12</f>
        <v>0</v>
      </c>
      <c r="Y38" s="132">
        <f t="shared" si="19"/>
        <v>0</v>
      </c>
      <c r="Z38" s="132">
        <f t="shared" si="20"/>
        <v>0</v>
      </c>
      <c r="AA38" s="132">
        <f t="shared" si="21"/>
        <v>0</v>
      </c>
      <c r="AB38" s="167">
        <f>17700/C38/12</f>
        <v>0.40179787523835464</v>
      </c>
      <c r="AC38" s="132">
        <f t="shared" si="22"/>
        <v>0.4</v>
      </c>
      <c r="AD38" s="130">
        <f t="shared" si="8"/>
        <v>17620.800000000003</v>
      </c>
      <c r="AE38" s="178">
        <f t="shared" si="23"/>
        <v>17621</v>
      </c>
      <c r="AF38" s="287">
        <f t="shared" si="24"/>
        <v>0</v>
      </c>
      <c r="AG38" s="288">
        <f t="shared" si="25"/>
        <v>0</v>
      </c>
      <c r="AH38" s="289">
        <f t="shared" si="26"/>
        <v>0</v>
      </c>
      <c r="AI38" s="287">
        <f t="shared" si="27"/>
        <v>0</v>
      </c>
      <c r="AJ38" s="289">
        <f t="shared" si="55"/>
        <v>0.3405066739308091</v>
      </c>
      <c r="AK38" s="288">
        <f t="shared" si="29"/>
        <v>0.34</v>
      </c>
      <c r="AL38" s="289">
        <f t="shared" si="30"/>
        <v>14977.68</v>
      </c>
      <c r="AM38" s="289">
        <f t="shared" si="31"/>
        <v>14978</v>
      </c>
      <c r="AN38" s="218">
        <f t="shared" si="56"/>
        <v>0</v>
      </c>
      <c r="AO38" s="167">
        <f t="shared" si="32"/>
        <v>0</v>
      </c>
      <c r="AP38" s="218">
        <f t="shared" si="51"/>
        <v>0</v>
      </c>
      <c r="AQ38" s="218">
        <f t="shared" si="33"/>
        <v>0</v>
      </c>
      <c r="AR38" s="218">
        <f t="shared" si="34"/>
        <v>0</v>
      </c>
      <c r="AS38" s="167">
        <f t="shared" si="35"/>
        <v>0</v>
      </c>
      <c r="AT38" s="218">
        <f t="shared" si="36"/>
        <v>0</v>
      </c>
      <c r="AU38" s="218">
        <f t="shared" si="9"/>
        <v>0</v>
      </c>
      <c r="AV38" s="167">
        <f>7500/C38/12</f>
        <v>0.17025333696540454</v>
      </c>
      <c r="AW38" s="167">
        <f t="shared" si="37"/>
        <v>0.17025333696540454</v>
      </c>
      <c r="AX38" s="218">
        <f t="shared" si="52"/>
        <v>7500.000000000002</v>
      </c>
      <c r="AY38" s="218">
        <f t="shared" si="10"/>
        <v>7500</v>
      </c>
      <c r="AZ38" s="218">
        <f>169155/C38/12</f>
        <v>3.839893761917734</v>
      </c>
      <c r="BA38" s="218">
        <f t="shared" si="39"/>
        <v>3.84</v>
      </c>
      <c r="BB38" s="218">
        <f t="shared" si="40"/>
        <v>169159.68</v>
      </c>
      <c r="BC38" s="218">
        <f t="shared" si="41"/>
        <v>169160</v>
      </c>
      <c r="BD38" s="218">
        <f>13645/C38/12</f>
        <v>0.30974757105239265</v>
      </c>
      <c r="BE38" s="218">
        <f t="shared" si="57"/>
        <v>0.30974757105239265</v>
      </c>
      <c r="BF38" s="218">
        <f t="shared" si="44"/>
        <v>13645.000000000002</v>
      </c>
      <c r="BG38" s="218">
        <f t="shared" si="58"/>
        <v>13645.000000000002</v>
      </c>
      <c r="BH38" s="316">
        <f>BE38+BA38+AW38+AK38+AC38+I38+E38</f>
        <v>5.630000908017798</v>
      </c>
      <c r="BI38" s="212">
        <f t="shared" si="46"/>
        <v>248012.80000000005</v>
      </c>
      <c r="BJ38" s="281">
        <f t="shared" si="47"/>
        <v>248013</v>
      </c>
    </row>
    <row r="39" spans="1:62" ht="21" customHeight="1">
      <c r="A39" s="207">
        <v>25</v>
      </c>
      <c r="B39" s="319" t="s">
        <v>42</v>
      </c>
      <c r="C39" s="314">
        <v>3321.63</v>
      </c>
      <c r="D39" s="121">
        <f>15000/C39/12</f>
        <v>0.3763212639577556</v>
      </c>
      <c r="E39" s="132">
        <f t="shared" si="11"/>
        <v>0.38</v>
      </c>
      <c r="F39" s="132">
        <f t="shared" si="12"/>
        <v>15146.6328</v>
      </c>
      <c r="G39" s="130">
        <f t="shared" si="0"/>
        <v>15147</v>
      </c>
      <c r="H39" s="232">
        <f>15000/C39/12</f>
        <v>0.3763212639577556</v>
      </c>
      <c r="I39" s="132">
        <f>H39+ROUND(0,0)</f>
        <v>0.3763212639577556</v>
      </c>
      <c r="J39" s="130">
        <f t="shared" si="2"/>
        <v>14999.999999999996</v>
      </c>
      <c r="K39" s="130">
        <f t="shared" si="13"/>
        <v>15000</v>
      </c>
      <c r="L39" s="232">
        <f>10000/C39/12</f>
        <v>0.2508808426385038</v>
      </c>
      <c r="M39" s="167">
        <f t="shared" si="49"/>
        <v>0.25</v>
      </c>
      <c r="N39" s="130">
        <f t="shared" si="4"/>
        <v>9964.89</v>
      </c>
      <c r="O39" s="130">
        <f t="shared" si="14"/>
        <v>9965</v>
      </c>
      <c r="P39" s="232">
        <f t="shared" si="15"/>
        <v>0</v>
      </c>
      <c r="Q39" s="132">
        <f t="shared" si="50"/>
        <v>0</v>
      </c>
      <c r="R39" s="131">
        <f t="shared" si="5"/>
        <v>0</v>
      </c>
      <c r="S39" s="131">
        <f t="shared" si="16"/>
        <v>0</v>
      </c>
      <c r="T39" s="232">
        <f>65000/C39/12</f>
        <v>1.6307254771502746</v>
      </c>
      <c r="U39" s="132">
        <f t="shared" si="6"/>
        <v>1.63</v>
      </c>
      <c r="V39" s="121">
        <f t="shared" si="7"/>
        <v>64971.08279999999</v>
      </c>
      <c r="W39" s="132">
        <f t="shared" si="18"/>
        <v>64971</v>
      </c>
      <c r="X39" s="232">
        <f>0/C39/12</f>
        <v>0</v>
      </c>
      <c r="Y39" s="132">
        <f t="shared" si="19"/>
        <v>0</v>
      </c>
      <c r="Z39" s="132">
        <f t="shared" si="20"/>
        <v>0</v>
      </c>
      <c r="AA39" s="132">
        <f t="shared" si="21"/>
        <v>0</v>
      </c>
      <c r="AB39" s="167">
        <f>19000/C39/12</f>
        <v>0.47667360101315714</v>
      </c>
      <c r="AC39" s="132">
        <f t="shared" si="22"/>
        <v>0.48</v>
      </c>
      <c r="AD39" s="130">
        <f t="shared" si="8"/>
        <v>19132.588799999998</v>
      </c>
      <c r="AE39" s="178">
        <f t="shared" si="23"/>
        <v>19133</v>
      </c>
      <c r="AF39" s="287">
        <f t="shared" si="24"/>
        <v>0</v>
      </c>
      <c r="AG39" s="288">
        <f t="shared" si="25"/>
        <v>0</v>
      </c>
      <c r="AH39" s="289">
        <f t="shared" si="26"/>
        <v>0</v>
      </c>
      <c r="AI39" s="287">
        <f t="shared" si="27"/>
        <v>0</v>
      </c>
      <c r="AJ39" s="289">
        <f>0/C39/12</f>
        <v>0</v>
      </c>
      <c r="AK39" s="288">
        <f t="shared" si="29"/>
        <v>0</v>
      </c>
      <c r="AL39" s="289">
        <f t="shared" si="30"/>
        <v>0</v>
      </c>
      <c r="AM39" s="289">
        <f t="shared" si="31"/>
        <v>0</v>
      </c>
      <c r="AN39" s="218">
        <f t="shared" si="56"/>
        <v>0</v>
      </c>
      <c r="AO39" s="167">
        <f t="shared" si="32"/>
        <v>0</v>
      </c>
      <c r="AP39" s="218">
        <f t="shared" si="51"/>
        <v>0</v>
      </c>
      <c r="AQ39" s="218">
        <f t="shared" si="33"/>
        <v>0</v>
      </c>
      <c r="AR39" s="218">
        <f t="shared" si="34"/>
        <v>0</v>
      </c>
      <c r="AS39" s="167">
        <f t="shared" si="35"/>
        <v>0</v>
      </c>
      <c r="AT39" s="218">
        <f t="shared" si="36"/>
        <v>0</v>
      </c>
      <c r="AU39" s="218">
        <f t="shared" si="9"/>
        <v>0</v>
      </c>
      <c r="AV39" s="167">
        <f>6000/C39/12</f>
        <v>0.15052850558310227</v>
      </c>
      <c r="AW39" s="167">
        <f t="shared" si="37"/>
        <v>0.15052850558310227</v>
      </c>
      <c r="AX39" s="218">
        <f t="shared" si="52"/>
        <v>6000</v>
      </c>
      <c r="AY39" s="218">
        <f t="shared" si="10"/>
        <v>6000</v>
      </c>
      <c r="AZ39" s="218">
        <f t="shared" si="38"/>
        <v>0</v>
      </c>
      <c r="BA39" s="218">
        <f t="shared" si="39"/>
        <v>0</v>
      </c>
      <c r="BB39" s="218">
        <f t="shared" si="40"/>
        <v>0</v>
      </c>
      <c r="BC39" s="218">
        <f t="shared" si="41"/>
        <v>0</v>
      </c>
      <c r="BD39" s="218">
        <f>22430/C39/12</f>
        <v>0.562725730038164</v>
      </c>
      <c r="BE39" s="218">
        <f t="shared" si="57"/>
        <v>0.562725730038164</v>
      </c>
      <c r="BF39" s="218">
        <f t="shared" si="44"/>
        <v>22430</v>
      </c>
      <c r="BG39" s="218">
        <f t="shared" si="58"/>
        <v>22430</v>
      </c>
      <c r="BH39" s="316">
        <f t="shared" si="53"/>
        <v>3.829575499579022</v>
      </c>
      <c r="BI39" s="212">
        <f t="shared" si="46"/>
        <v>152645.19439999998</v>
      </c>
      <c r="BJ39" s="281">
        <f t="shared" si="47"/>
        <v>152645</v>
      </c>
    </row>
    <row r="40" spans="1:62" ht="21" customHeight="1">
      <c r="A40" s="294">
        <v>26</v>
      </c>
      <c r="B40" s="321" t="s">
        <v>117</v>
      </c>
      <c r="C40" s="315">
        <v>6722.5</v>
      </c>
      <c r="D40" s="296"/>
      <c r="E40" s="297"/>
      <c r="F40" s="297"/>
      <c r="G40" s="298"/>
      <c r="H40" s="299"/>
      <c r="I40" s="298"/>
      <c r="J40" s="298"/>
      <c r="K40" s="298"/>
      <c r="L40" s="299">
        <f t="shared" si="3"/>
        <v>0</v>
      </c>
      <c r="M40" s="300">
        <f t="shared" si="49"/>
        <v>0</v>
      </c>
      <c r="N40" s="298">
        <f t="shared" si="4"/>
        <v>0</v>
      </c>
      <c r="O40" s="298">
        <f t="shared" si="14"/>
        <v>0</v>
      </c>
      <c r="P40" s="299">
        <f t="shared" si="15"/>
        <v>0</v>
      </c>
      <c r="Q40" s="297">
        <f t="shared" si="50"/>
        <v>0</v>
      </c>
      <c r="R40" s="301">
        <f t="shared" si="5"/>
        <v>0</v>
      </c>
      <c r="S40" s="301">
        <f t="shared" si="16"/>
        <v>0</v>
      </c>
      <c r="T40" s="299">
        <f t="shared" si="17"/>
        <v>0</v>
      </c>
      <c r="U40" s="297">
        <f t="shared" si="6"/>
        <v>0</v>
      </c>
      <c r="V40" s="296">
        <f t="shared" si="7"/>
        <v>0</v>
      </c>
      <c r="W40" s="297">
        <f t="shared" si="18"/>
        <v>0</v>
      </c>
      <c r="X40" s="299">
        <f>0/C40/12</f>
        <v>0</v>
      </c>
      <c r="Y40" s="297">
        <f t="shared" si="19"/>
        <v>0</v>
      </c>
      <c r="Z40" s="297">
        <f t="shared" si="20"/>
        <v>0</v>
      </c>
      <c r="AA40" s="297">
        <f t="shared" si="21"/>
        <v>0</v>
      </c>
      <c r="AB40" s="302">
        <f>0/C40/12</f>
        <v>0</v>
      </c>
      <c r="AC40" s="297">
        <f t="shared" si="22"/>
        <v>0</v>
      </c>
      <c r="AD40" s="298">
        <f t="shared" si="8"/>
        <v>0</v>
      </c>
      <c r="AE40" s="303">
        <f t="shared" si="23"/>
        <v>0</v>
      </c>
      <c r="AF40" s="304"/>
      <c r="AG40" s="305"/>
      <c r="AH40" s="306"/>
      <c r="AI40" s="304"/>
      <c r="AJ40" s="306">
        <f>0/C40/12</f>
        <v>0</v>
      </c>
      <c r="AK40" s="305">
        <f t="shared" si="29"/>
        <v>0</v>
      </c>
      <c r="AL40" s="306">
        <f t="shared" si="30"/>
        <v>0</v>
      </c>
      <c r="AM40" s="306">
        <f t="shared" si="31"/>
        <v>0</v>
      </c>
      <c r="AN40" s="307">
        <f t="shared" si="56"/>
        <v>0</v>
      </c>
      <c r="AO40" s="300">
        <f t="shared" si="32"/>
        <v>0</v>
      </c>
      <c r="AP40" s="307">
        <f t="shared" si="51"/>
        <v>0</v>
      </c>
      <c r="AQ40" s="307">
        <f t="shared" si="33"/>
        <v>0</v>
      </c>
      <c r="AR40" s="307">
        <f>100000/C40/12</f>
        <v>1.2396181975951406</v>
      </c>
      <c r="AS40" s="300">
        <f t="shared" si="35"/>
        <v>1.24</v>
      </c>
      <c r="AT40" s="218">
        <f t="shared" si="36"/>
        <v>99999.99999999999</v>
      </c>
      <c r="AU40" s="307">
        <f t="shared" si="9"/>
        <v>100000</v>
      </c>
      <c r="AV40" s="167">
        <f>0/C40/12</f>
        <v>0</v>
      </c>
      <c r="AW40" s="167">
        <f t="shared" si="37"/>
        <v>0</v>
      </c>
      <c r="AX40" s="218">
        <f t="shared" si="52"/>
        <v>0</v>
      </c>
      <c r="AY40" s="307">
        <f t="shared" si="10"/>
        <v>0</v>
      </c>
      <c r="AZ40" s="307">
        <f t="shared" si="38"/>
        <v>0</v>
      </c>
      <c r="BA40" s="307">
        <f t="shared" si="39"/>
        <v>0</v>
      </c>
      <c r="BB40" s="307">
        <f t="shared" si="40"/>
        <v>0</v>
      </c>
      <c r="BC40" s="307">
        <f t="shared" si="41"/>
        <v>0</v>
      </c>
      <c r="BD40" s="307"/>
      <c r="BE40" s="307"/>
      <c r="BF40" s="307">
        <v>0</v>
      </c>
      <c r="BG40" s="307"/>
      <c r="BH40" s="316">
        <f t="shared" si="53"/>
        <v>1.24</v>
      </c>
      <c r="BI40" s="212">
        <f t="shared" si="46"/>
        <v>100030.79999999999</v>
      </c>
      <c r="BJ40" s="281">
        <f t="shared" si="47"/>
        <v>100031</v>
      </c>
    </row>
    <row r="41" spans="1:62" ht="21" customHeight="1">
      <c r="A41" s="182"/>
      <c r="B41" s="182"/>
      <c r="C41" s="183"/>
      <c r="D41" s="230"/>
      <c r="E41" s="231"/>
      <c r="F41" s="181">
        <f>SUM(F15:F39)</f>
        <v>295353.7932</v>
      </c>
      <c r="G41" s="181">
        <f>SUM(G15:G39)</f>
        <v>295355</v>
      </c>
      <c r="H41" s="208"/>
      <c r="I41" s="181"/>
      <c r="J41" s="181">
        <f>SUM(J16:J39)</f>
        <v>177815.1936</v>
      </c>
      <c r="K41" s="181">
        <f>SUM(K15:K39)</f>
        <v>177816</v>
      </c>
      <c r="L41" s="183"/>
      <c r="M41" s="209"/>
      <c r="N41" s="181">
        <f>SUM(N15:N40)</f>
        <v>75992.30040000001</v>
      </c>
      <c r="O41" s="181">
        <f>SUM(O15:O40)</f>
        <v>75992</v>
      </c>
      <c r="P41" s="208"/>
      <c r="Q41" s="208"/>
      <c r="R41" s="208">
        <f>SUM(R15:R40)</f>
        <v>41913.432</v>
      </c>
      <c r="S41" s="208">
        <f>SUM(S15:S40)</f>
        <v>41914</v>
      </c>
      <c r="T41" s="208"/>
      <c r="U41" s="210"/>
      <c r="V41" s="183">
        <f>SUM(V15:V40)</f>
        <v>694963.8624</v>
      </c>
      <c r="W41" s="181">
        <f>SUM(W15:W40)</f>
        <v>694963</v>
      </c>
      <c r="X41" s="208"/>
      <c r="Y41" s="208"/>
      <c r="Z41" s="181">
        <f>SUM(Z15:Z40)</f>
        <v>512501.4524</v>
      </c>
      <c r="AA41" s="181">
        <f>SUM(AA15:AA40)</f>
        <v>512502</v>
      </c>
      <c r="AB41" s="163"/>
      <c r="AC41" s="182"/>
      <c r="AD41" s="208">
        <f>SUM(AD15:AD40)</f>
        <v>256327.8756</v>
      </c>
      <c r="AE41" s="208">
        <f t="shared" si="23"/>
        <v>256328</v>
      </c>
      <c r="AF41" s="182"/>
      <c r="AG41" s="182"/>
      <c r="AH41" s="235">
        <f>SUM(AH15:AH39)</f>
        <v>0</v>
      </c>
      <c r="AI41" s="182">
        <f>SUM(AI15:AI39)</f>
        <v>0</v>
      </c>
      <c r="AJ41" s="182"/>
      <c r="AK41" s="182"/>
      <c r="AL41" s="235">
        <f>SUM(AL15:AL40)</f>
        <v>328891.0668</v>
      </c>
      <c r="AM41" s="235">
        <f>SUM(AM15:AM40)</f>
        <v>328891</v>
      </c>
      <c r="AN41" s="182"/>
      <c r="AO41" s="182"/>
      <c r="AP41" s="235">
        <f>SUM(AP15:AP40)</f>
        <v>226653.86519999997</v>
      </c>
      <c r="AQ41" s="182">
        <f t="shared" si="33"/>
        <v>226654</v>
      </c>
      <c r="AR41" s="182"/>
      <c r="AS41" s="182"/>
      <c r="AT41" s="235">
        <f>SUM(AT15:AT40)</f>
        <v>99999.99999999999</v>
      </c>
      <c r="AU41" s="235">
        <f>SUM(AU15:AU40)</f>
        <v>100000</v>
      </c>
      <c r="AV41" s="182"/>
      <c r="AW41" s="182"/>
      <c r="AX41" s="235">
        <f>SUM(AX15:AX40)</f>
        <v>90400</v>
      </c>
      <c r="AY41" s="235">
        <f>SUM(AY15:AY40)</f>
        <v>90400</v>
      </c>
      <c r="AZ41" s="235"/>
      <c r="BA41" s="235"/>
      <c r="BB41" s="235">
        <f>SUM(BB15:BB40)</f>
        <v>1189219.8192</v>
      </c>
      <c r="BC41" s="235">
        <f t="shared" si="41"/>
        <v>1189220</v>
      </c>
      <c r="BD41" s="235"/>
      <c r="BE41" s="235"/>
      <c r="BF41" s="235">
        <f>SUM(BF15:BF40)</f>
        <v>167776</v>
      </c>
      <c r="BG41" s="235">
        <f>SUM(BG33:BG39)</f>
        <v>167776</v>
      </c>
      <c r="BH41" s="235"/>
      <c r="BI41" s="258">
        <f>SUM(BI15:BI40)</f>
        <v>4195090.531200001</v>
      </c>
      <c r="BJ41" s="282">
        <f>SUM(BJ15:BJ40)</f>
        <v>4195092</v>
      </c>
    </row>
    <row r="42" spans="1:62" ht="21" customHeight="1">
      <c r="A42" s="180"/>
      <c r="B42" s="180"/>
      <c r="C42" s="165">
        <f>C15+C16+C17+C18+C19+C20+C21+C22+C23+C24+C25+C26+C27+C28+C29+C30+C31+C32+C33+C34+C35+C36+C37+C38+C39+C40</f>
        <v>83488.87</v>
      </c>
      <c r="D42" s="165"/>
      <c r="E42" s="179"/>
      <c r="F42" s="179"/>
      <c r="G42" s="179"/>
      <c r="H42" s="184"/>
      <c r="I42" s="179"/>
      <c r="J42" s="179"/>
      <c r="K42" s="179"/>
      <c r="L42" s="165"/>
      <c r="M42" s="203"/>
      <c r="N42" s="179"/>
      <c r="O42" s="179"/>
      <c r="P42" s="184"/>
      <c r="Q42" s="184"/>
      <c r="R42" s="184"/>
      <c r="S42" s="184"/>
      <c r="T42" s="184"/>
      <c r="U42" s="204"/>
      <c r="V42" s="184"/>
      <c r="W42" s="179"/>
      <c r="X42" s="184"/>
      <c r="Y42" s="184"/>
      <c r="Z42" s="179"/>
      <c r="AA42" s="179"/>
      <c r="AB42" s="180"/>
      <c r="AC42" s="180"/>
      <c r="AD42" s="184"/>
      <c r="AE42" s="184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4"/>
      <c r="BJ42" s="282"/>
    </row>
    <row r="43" spans="21:62" ht="12.75">
      <c r="U43" s="237"/>
      <c r="V43" s="237"/>
      <c r="W43" s="237"/>
      <c r="X43" s="237"/>
      <c r="Y43" s="237"/>
      <c r="BI43" s="214"/>
      <c r="BJ43" s="214"/>
    </row>
    <row r="44" spans="1:62" ht="12.75">
      <c r="A44" s="405"/>
      <c r="B44" s="406"/>
      <c r="C44" s="406"/>
      <c r="BI44" s="214"/>
      <c r="BJ44" s="214"/>
    </row>
    <row r="45" spans="1:62" ht="12.75">
      <c r="A45" s="406"/>
      <c r="B45" s="406"/>
      <c r="C45" s="406"/>
      <c r="BI45" s="214"/>
      <c r="BJ45" s="214"/>
    </row>
    <row r="46" spans="61:62" ht="12.75">
      <c r="BI46" s="214"/>
      <c r="BJ46" s="214"/>
    </row>
    <row r="47" spans="61:62" ht="12.75">
      <c r="BI47" s="214"/>
      <c r="BJ47" s="214"/>
    </row>
    <row r="48" spans="1:62" ht="12.75">
      <c r="A48" s="397" t="s">
        <v>106</v>
      </c>
      <c r="B48" s="398"/>
      <c r="C48" s="398"/>
      <c r="BI48" s="214"/>
      <c r="BJ48" s="214"/>
    </row>
    <row r="49" spans="1:62" ht="12.75">
      <c r="A49" s="398"/>
      <c r="B49" s="398"/>
      <c r="C49" s="398"/>
      <c r="E49" s="211"/>
      <c r="BI49" s="214"/>
      <c r="BJ49" s="214"/>
    </row>
    <row r="50" spans="61:62" ht="12.75">
      <c r="BI50" s="214"/>
      <c r="BJ50" s="214"/>
    </row>
    <row r="51" spans="6:62" ht="12.75">
      <c r="F51" s="407"/>
      <c r="G51" s="407"/>
      <c r="H51" s="407"/>
      <c r="I51" s="407"/>
      <c r="J51" s="407"/>
      <c r="K51" s="407"/>
      <c r="L51" s="407"/>
      <c r="M51" s="407"/>
      <c r="N51" s="407"/>
      <c r="BI51" s="214"/>
      <c r="BJ51" s="214"/>
    </row>
    <row r="52" spans="61:62" ht="12.75">
      <c r="BI52" s="214"/>
      <c r="BJ52" s="214"/>
    </row>
  </sheetData>
  <mergeCells count="10">
    <mergeCell ref="A44:C45"/>
    <mergeCell ref="A48:C49"/>
    <mergeCell ref="F51:N51"/>
    <mergeCell ref="A5:B5"/>
    <mergeCell ref="A8:BI8"/>
    <mergeCell ref="A9:BI9"/>
    <mergeCell ref="A12:A14"/>
    <mergeCell ref="B12:B14"/>
    <mergeCell ref="C12:C14"/>
    <mergeCell ref="D12:BI12"/>
  </mergeCells>
  <printOptions/>
  <pageMargins left="0.22" right="0.16" top="0.22" bottom="0.25" header="0.26" footer="0.31"/>
  <pageSetup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44"/>
  <sheetViews>
    <sheetView workbookViewId="0" topLeftCell="C12">
      <selection activeCell="P44" sqref="P44"/>
    </sheetView>
  </sheetViews>
  <sheetFormatPr defaultColWidth="9.140625" defaultRowHeight="12.75"/>
  <cols>
    <col min="1" max="1" width="5.7109375" style="0" customWidth="1"/>
    <col min="2" max="2" width="24.7109375" style="0" customWidth="1"/>
    <col min="4" max="4" width="11.7109375" style="0" customWidth="1"/>
    <col min="5" max="5" width="10.140625" style="0" customWidth="1"/>
    <col min="10" max="10" width="10.140625" style="0" bestFit="1" customWidth="1"/>
  </cols>
  <sheetData>
    <row r="3" spans="5:11" ht="12.75">
      <c r="E3" s="133" t="s">
        <v>81</v>
      </c>
      <c r="F3" s="133"/>
      <c r="G3" s="133"/>
      <c r="I3" s="133" t="s">
        <v>81</v>
      </c>
      <c r="J3" s="133"/>
      <c r="K3" s="133"/>
    </row>
    <row r="4" spans="5:11" ht="12.75">
      <c r="E4" s="133" t="s">
        <v>82</v>
      </c>
      <c r="F4" s="133"/>
      <c r="G4" s="133"/>
      <c r="I4" s="133"/>
      <c r="J4" s="133"/>
      <c r="K4" s="133"/>
    </row>
    <row r="5" spans="5:11" ht="12.75">
      <c r="E5" s="286" t="s">
        <v>111</v>
      </c>
      <c r="F5" s="286"/>
      <c r="G5" s="133"/>
      <c r="I5" s="133"/>
      <c r="J5" s="133"/>
      <c r="K5" s="133"/>
    </row>
    <row r="6" spans="5:11" ht="12.75">
      <c r="E6" s="274"/>
      <c r="F6" s="274"/>
      <c r="G6" s="275"/>
      <c r="I6" s="133"/>
      <c r="J6" s="133"/>
      <c r="K6" s="133"/>
    </row>
    <row r="7" spans="9:11" ht="12.75">
      <c r="I7" s="133" t="s">
        <v>82</v>
      </c>
      <c r="J7" s="133"/>
      <c r="K7" s="133"/>
    </row>
    <row r="8" spans="9:11" ht="12.75">
      <c r="I8" s="286" t="s">
        <v>111</v>
      </c>
      <c r="J8" s="286"/>
      <c r="K8" s="133"/>
    </row>
    <row r="9" spans="9:11" ht="12.75">
      <c r="I9" s="274"/>
      <c r="J9" s="274"/>
      <c r="K9" s="275"/>
    </row>
    <row r="11" spans="1:9" ht="14.25">
      <c r="A11" s="400" t="s">
        <v>107</v>
      </c>
      <c r="B11" s="400"/>
      <c r="C11" s="400"/>
      <c r="D11" s="400"/>
      <c r="E11" s="400"/>
      <c r="F11" s="400"/>
      <c r="G11" s="400"/>
      <c r="H11" s="400"/>
      <c r="I11" s="400"/>
    </row>
    <row r="12" spans="1:9" ht="40.5" customHeight="1">
      <c r="A12" s="408" t="s">
        <v>113</v>
      </c>
      <c r="B12" s="400"/>
      <c r="C12" s="400"/>
      <c r="D12" s="400"/>
      <c r="E12" s="400"/>
      <c r="F12" s="400"/>
      <c r="G12" s="400"/>
      <c r="H12" s="400"/>
      <c r="I12" s="400"/>
    </row>
    <row r="13" spans="1:9" ht="14.25">
      <c r="A13" s="246"/>
      <c r="B13" s="246"/>
      <c r="C13" s="246"/>
      <c r="D13" s="246"/>
      <c r="E13" s="246"/>
      <c r="F13" s="246"/>
      <c r="G13" s="246"/>
      <c r="H13" s="246"/>
      <c r="I13" s="246"/>
    </row>
    <row r="14" spans="1:9" ht="14.25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10" ht="12.75">
      <c r="A15" s="401" t="s">
        <v>1</v>
      </c>
      <c r="B15" s="401" t="s">
        <v>2</v>
      </c>
      <c r="C15" s="401" t="s">
        <v>63</v>
      </c>
      <c r="D15" s="402" t="s">
        <v>7</v>
      </c>
      <c r="E15" s="403"/>
      <c r="F15" s="403"/>
      <c r="G15" s="403"/>
      <c r="H15" s="403"/>
      <c r="I15" s="404"/>
      <c r="J15" s="213"/>
    </row>
    <row r="16" spans="1:10" ht="89.25">
      <c r="A16" s="401"/>
      <c r="B16" s="401"/>
      <c r="C16" s="401"/>
      <c r="D16" s="215" t="s">
        <v>112</v>
      </c>
      <c r="E16" s="215" t="s">
        <v>112</v>
      </c>
      <c r="F16" s="134" t="s">
        <v>72</v>
      </c>
      <c r="G16" s="134" t="s">
        <v>72</v>
      </c>
      <c r="H16" s="194" t="s">
        <v>89</v>
      </c>
      <c r="I16" s="134" t="s">
        <v>72</v>
      </c>
      <c r="J16" s="134" t="s">
        <v>72</v>
      </c>
    </row>
    <row r="17" spans="1:10" ht="44.25">
      <c r="A17" s="401"/>
      <c r="B17" s="401"/>
      <c r="C17" s="401"/>
      <c r="D17" s="172" t="s">
        <v>15</v>
      </c>
      <c r="E17" s="134" t="s">
        <v>15</v>
      </c>
      <c r="F17" s="134" t="s">
        <v>84</v>
      </c>
      <c r="G17" s="134" t="s">
        <v>84</v>
      </c>
      <c r="H17" s="195" t="s">
        <v>15</v>
      </c>
      <c r="I17" s="164" t="s">
        <v>84</v>
      </c>
      <c r="J17" s="213"/>
    </row>
    <row r="18" spans="1:16" ht="12.75">
      <c r="A18" s="207">
        <v>1</v>
      </c>
      <c r="B18" s="279" t="s">
        <v>36</v>
      </c>
      <c r="C18" s="206">
        <v>3667.4</v>
      </c>
      <c r="D18" s="232">
        <f>84210/C18/24</f>
        <v>0.9567404700878006</v>
      </c>
      <c r="E18" s="132">
        <f aca="true" t="shared" si="0" ref="E18:E24">ROUND(D18,2)</f>
        <v>0.96</v>
      </c>
      <c r="F18" s="132">
        <f>E18*C18*24</f>
        <v>84496.89600000001</v>
      </c>
      <c r="G18" s="130">
        <f aca="true" t="shared" si="1" ref="G18:G24">ROUND(F18,0)</f>
        <v>84497</v>
      </c>
      <c r="H18" s="196">
        <f>E18+0</f>
        <v>0.96</v>
      </c>
      <c r="I18" s="122">
        <f>F18+0</f>
        <v>84496.89600000001</v>
      </c>
      <c r="J18" s="285">
        <f>ROUND(I18,0)</f>
        <v>84497</v>
      </c>
      <c r="O18">
        <v>1</v>
      </c>
      <c r="P18">
        <v>1479.8</v>
      </c>
    </row>
    <row r="19" spans="1:16" ht="12.75">
      <c r="A19" s="207">
        <v>2</v>
      </c>
      <c r="B19" s="279" t="s">
        <v>37</v>
      </c>
      <c r="C19" s="206">
        <v>1487.25</v>
      </c>
      <c r="D19" s="232">
        <f>70214.2/C19/24</f>
        <v>1.9671149212752843</v>
      </c>
      <c r="E19" s="132">
        <f t="shared" si="0"/>
        <v>1.97</v>
      </c>
      <c r="F19" s="132">
        <f>D19*C19*24</f>
        <v>70214.2</v>
      </c>
      <c r="G19" s="197">
        <f t="shared" si="1"/>
        <v>70214</v>
      </c>
      <c r="H19" s="196">
        <f aca="true" t="shared" si="2" ref="H19:H24">E19+0</f>
        <v>1.97</v>
      </c>
      <c r="I19" s="122">
        <f aca="true" t="shared" si="3" ref="I19:I24">F19+0</f>
        <v>70214.2</v>
      </c>
      <c r="J19" s="285">
        <f aca="true" t="shared" si="4" ref="J19:J24">ROUND(I19,0)</f>
        <v>70214</v>
      </c>
      <c r="O19">
        <f>O18+1</f>
        <v>2</v>
      </c>
      <c r="P19">
        <v>3348.9</v>
      </c>
    </row>
    <row r="20" spans="1:16" ht="12.75">
      <c r="A20" s="207">
        <v>3</v>
      </c>
      <c r="B20" s="279" t="s">
        <v>38</v>
      </c>
      <c r="C20" s="206">
        <v>3662.9</v>
      </c>
      <c r="D20" s="232">
        <f>84210/C20/24</f>
        <v>0.9579158590188102</v>
      </c>
      <c r="E20" s="132">
        <f t="shared" si="0"/>
        <v>0.96</v>
      </c>
      <c r="F20" s="132">
        <f>E20*C20*24</f>
        <v>84393.216</v>
      </c>
      <c r="G20" s="130">
        <f t="shared" si="1"/>
        <v>84393</v>
      </c>
      <c r="H20" s="196">
        <f t="shared" si="2"/>
        <v>0.96</v>
      </c>
      <c r="I20" s="122">
        <f t="shared" si="3"/>
        <v>84393.216</v>
      </c>
      <c r="J20" s="285">
        <f t="shared" si="4"/>
        <v>84393</v>
      </c>
      <c r="O20">
        <f aca="true" t="shared" si="5" ref="O20:O43">O19+1</f>
        <v>3</v>
      </c>
      <c r="P20">
        <v>3669.8</v>
      </c>
    </row>
    <row r="21" spans="1:16" ht="12.75">
      <c r="A21" s="207">
        <v>4</v>
      </c>
      <c r="B21" s="279" t="s">
        <v>39</v>
      </c>
      <c r="C21" s="206">
        <v>1477.8</v>
      </c>
      <c r="D21" s="232">
        <f>67900/C21/24</f>
        <v>1.9144448955654803</v>
      </c>
      <c r="E21" s="132">
        <f t="shared" si="0"/>
        <v>1.91</v>
      </c>
      <c r="F21" s="132">
        <f>E21*C21*24</f>
        <v>67742.352</v>
      </c>
      <c r="G21" s="130">
        <f t="shared" si="1"/>
        <v>67742</v>
      </c>
      <c r="H21" s="196">
        <f t="shared" si="2"/>
        <v>1.91</v>
      </c>
      <c r="I21" s="122">
        <f t="shared" si="3"/>
        <v>67742.352</v>
      </c>
      <c r="J21" s="285">
        <f t="shared" si="4"/>
        <v>67742</v>
      </c>
      <c r="O21">
        <f t="shared" si="5"/>
        <v>4</v>
      </c>
      <c r="P21">
        <v>1487.25</v>
      </c>
    </row>
    <row r="22" spans="1:16" ht="12.75">
      <c r="A22" s="207">
        <v>5</v>
      </c>
      <c r="B22" s="279" t="s">
        <v>40</v>
      </c>
      <c r="C22" s="206">
        <v>3348.9</v>
      </c>
      <c r="D22" s="232">
        <f>84210/C22/24</f>
        <v>1.0477320911344024</v>
      </c>
      <c r="E22" s="132">
        <f t="shared" si="0"/>
        <v>1.05</v>
      </c>
      <c r="F22" s="132">
        <f>E22*C22*24</f>
        <v>84392.28</v>
      </c>
      <c r="G22" s="130">
        <f t="shared" si="1"/>
        <v>84392</v>
      </c>
      <c r="H22" s="196">
        <f t="shared" si="2"/>
        <v>1.05</v>
      </c>
      <c r="I22" s="122">
        <f t="shared" si="3"/>
        <v>84392.28</v>
      </c>
      <c r="J22" s="285">
        <f t="shared" si="4"/>
        <v>84392</v>
      </c>
      <c r="O22">
        <f t="shared" si="5"/>
        <v>5</v>
      </c>
      <c r="P22">
        <v>3662.9</v>
      </c>
    </row>
    <row r="23" spans="1:16" ht="12.75">
      <c r="A23" s="207">
        <v>6</v>
      </c>
      <c r="B23" s="279" t="s">
        <v>41</v>
      </c>
      <c r="C23" s="206">
        <v>3671</v>
      </c>
      <c r="D23" s="232">
        <f>84210/C23/24</f>
        <v>0.955802233723781</v>
      </c>
      <c r="E23" s="132">
        <f t="shared" si="0"/>
        <v>0.96</v>
      </c>
      <c r="F23" s="132">
        <f>E23*C23*24</f>
        <v>84579.84</v>
      </c>
      <c r="G23" s="130">
        <f t="shared" si="1"/>
        <v>84580</v>
      </c>
      <c r="H23" s="196">
        <f t="shared" si="2"/>
        <v>0.96</v>
      </c>
      <c r="I23" s="122">
        <f t="shared" si="3"/>
        <v>84579.84</v>
      </c>
      <c r="J23" s="285">
        <f t="shared" si="4"/>
        <v>84580</v>
      </c>
      <c r="O23">
        <f t="shared" si="5"/>
        <v>6</v>
      </c>
      <c r="P23">
        <v>3671</v>
      </c>
    </row>
    <row r="24" spans="1:16" ht="12.75">
      <c r="A24" s="207">
        <v>7</v>
      </c>
      <c r="B24" s="279" t="s">
        <v>42</v>
      </c>
      <c r="C24" s="206">
        <v>3319.73</v>
      </c>
      <c r="D24" s="232">
        <f>84210/C24/24</f>
        <v>1.0569383654694808</v>
      </c>
      <c r="E24" s="132">
        <f t="shared" si="0"/>
        <v>1.06</v>
      </c>
      <c r="F24" s="132">
        <f>E24*C24*24</f>
        <v>84453.9312</v>
      </c>
      <c r="G24" s="130">
        <f t="shared" si="1"/>
        <v>84454</v>
      </c>
      <c r="H24" s="196">
        <f t="shared" si="2"/>
        <v>1.06</v>
      </c>
      <c r="I24" s="122">
        <f t="shared" si="3"/>
        <v>84453.9312</v>
      </c>
      <c r="J24" s="285">
        <f t="shared" si="4"/>
        <v>84454</v>
      </c>
      <c r="O24">
        <f t="shared" si="5"/>
        <v>7</v>
      </c>
      <c r="P24">
        <v>3321.63</v>
      </c>
    </row>
    <row r="25" spans="1:16" ht="12.75">
      <c r="A25" s="182"/>
      <c r="B25" s="182"/>
      <c r="C25" s="183">
        <f>SUM(C18:C24)</f>
        <v>20634.98</v>
      </c>
      <c r="D25" s="230"/>
      <c r="E25" s="231"/>
      <c r="F25" s="181">
        <f>SUM(F18:F24)</f>
        <v>560272.7152</v>
      </c>
      <c r="G25" s="181">
        <f>SUM(G18:G24)</f>
        <v>560272</v>
      </c>
      <c r="H25" s="284"/>
      <c r="I25" s="184"/>
      <c r="J25" s="285">
        <f>SUM(J18:J24)</f>
        <v>560272</v>
      </c>
      <c r="O25">
        <f t="shared" si="5"/>
        <v>8</v>
      </c>
      <c r="P25">
        <v>5850.5</v>
      </c>
    </row>
    <row r="26" spans="1:16" ht="12.75">
      <c r="A26" s="180"/>
      <c r="B26" s="180"/>
      <c r="C26" s="165"/>
      <c r="D26" s="165"/>
      <c r="E26" s="179"/>
      <c r="F26" s="179"/>
      <c r="G26" s="179"/>
      <c r="H26" s="180"/>
      <c r="I26" s="184"/>
      <c r="J26" s="213"/>
      <c r="O26">
        <f t="shared" si="5"/>
        <v>9</v>
      </c>
      <c r="P26">
        <v>3668.19</v>
      </c>
    </row>
    <row r="27" spans="9:16" ht="12.75">
      <c r="I27" s="214"/>
      <c r="O27">
        <f t="shared" si="5"/>
        <v>10</v>
      </c>
      <c r="P27">
        <v>1470.1</v>
      </c>
    </row>
    <row r="28" spans="1:16" ht="12.75">
      <c r="A28" s="405"/>
      <c r="B28" s="406"/>
      <c r="C28" s="406"/>
      <c r="I28" s="214"/>
      <c r="O28">
        <f t="shared" si="5"/>
        <v>11</v>
      </c>
      <c r="P28">
        <v>3659.96</v>
      </c>
    </row>
    <row r="29" spans="1:16" ht="12.75">
      <c r="A29" s="406"/>
      <c r="B29" s="406"/>
      <c r="C29" s="406"/>
      <c r="I29" s="214"/>
      <c r="O29">
        <f t="shared" si="5"/>
        <v>12</v>
      </c>
      <c r="P29">
        <v>3673.5</v>
      </c>
    </row>
    <row r="30" spans="9:16" ht="12.75">
      <c r="I30" s="214"/>
      <c r="O30">
        <f t="shared" si="5"/>
        <v>13</v>
      </c>
      <c r="P30">
        <v>1469.5</v>
      </c>
    </row>
    <row r="31" spans="9:16" ht="12.75">
      <c r="I31" s="214"/>
      <c r="O31">
        <f t="shared" si="5"/>
        <v>14</v>
      </c>
      <c r="P31">
        <v>1470</v>
      </c>
    </row>
    <row r="32" spans="1:16" ht="12.75">
      <c r="A32" s="397" t="s">
        <v>106</v>
      </c>
      <c r="B32" s="398"/>
      <c r="C32" s="398"/>
      <c r="I32" s="214"/>
      <c r="O32">
        <f t="shared" si="5"/>
        <v>15</v>
      </c>
      <c r="P32">
        <v>3672.36</v>
      </c>
    </row>
    <row r="33" spans="1:16" ht="12.75">
      <c r="A33" s="398"/>
      <c r="B33" s="398"/>
      <c r="C33" s="398"/>
      <c r="E33" s="211"/>
      <c r="I33" s="214"/>
      <c r="O33">
        <f t="shared" si="5"/>
        <v>16</v>
      </c>
      <c r="P33">
        <v>3648.6</v>
      </c>
    </row>
    <row r="34" spans="15:16" ht="12.75">
      <c r="O34">
        <f t="shared" si="5"/>
        <v>17</v>
      </c>
      <c r="P34">
        <v>1467</v>
      </c>
    </row>
    <row r="35" spans="15:16" ht="12.75">
      <c r="O35">
        <f t="shared" si="5"/>
        <v>18</v>
      </c>
      <c r="P35">
        <v>1412.38</v>
      </c>
    </row>
    <row r="36" spans="15:16" ht="12.75">
      <c r="O36">
        <f t="shared" si="5"/>
        <v>19</v>
      </c>
      <c r="P36">
        <v>3355.43</v>
      </c>
    </row>
    <row r="37" spans="15:16" ht="12.75">
      <c r="O37">
        <f t="shared" si="5"/>
        <v>20</v>
      </c>
      <c r="P37">
        <v>3538.7</v>
      </c>
    </row>
    <row r="38" spans="15:16" ht="12.75">
      <c r="O38">
        <f t="shared" si="5"/>
        <v>21</v>
      </c>
      <c r="P38">
        <v>1776.2</v>
      </c>
    </row>
    <row r="39" spans="15:16" ht="12.75">
      <c r="O39">
        <f t="shared" si="5"/>
        <v>22</v>
      </c>
      <c r="P39">
        <v>4855.1</v>
      </c>
    </row>
    <row r="40" spans="15:16" ht="12.75">
      <c r="O40">
        <f t="shared" si="5"/>
        <v>23</v>
      </c>
      <c r="P40">
        <v>4736.91</v>
      </c>
    </row>
    <row r="41" spans="15:16" ht="12.75">
      <c r="O41">
        <f t="shared" si="5"/>
        <v>24</v>
      </c>
      <c r="P41">
        <v>4639.8</v>
      </c>
    </row>
    <row r="42" spans="15:16" ht="12.75">
      <c r="O42">
        <f t="shared" si="5"/>
        <v>25</v>
      </c>
      <c r="P42">
        <v>1760.86</v>
      </c>
    </row>
    <row r="43" spans="15:16" ht="12.75">
      <c r="O43">
        <f t="shared" si="5"/>
        <v>26</v>
      </c>
      <c r="P43">
        <v>6722.5</v>
      </c>
    </row>
    <row r="44" ht="12.75">
      <c r="P44">
        <f>SUM(P18:P43)</f>
        <v>83488.87</v>
      </c>
    </row>
  </sheetData>
  <mergeCells count="8">
    <mergeCell ref="A28:C29"/>
    <mergeCell ref="A32:C33"/>
    <mergeCell ref="A11:I11"/>
    <mergeCell ref="A12:I12"/>
    <mergeCell ref="A15:A17"/>
    <mergeCell ref="B15:B17"/>
    <mergeCell ref="C15:C17"/>
    <mergeCell ref="D15:I15"/>
  </mergeCells>
  <printOptions/>
  <pageMargins left="0.75" right="0.75" top="0.32" bottom="0.49" header="0.31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E51"/>
  <sheetViews>
    <sheetView view="pageBreakPreview" zoomScale="75" zoomScaleNormal="75" zoomScaleSheetLayoutView="75" workbookViewId="0" topLeftCell="A4">
      <pane xSplit="4" ySplit="11" topLeftCell="U15" activePane="bottomRight" state="frozen"/>
      <selection pane="topLeft" activeCell="A4" sqref="A4"/>
      <selection pane="topRight" activeCell="E4" sqref="E4"/>
      <selection pane="bottomLeft" activeCell="A15" sqref="A15"/>
      <selection pane="bottomRight" activeCell="AH33" sqref="AH33"/>
    </sheetView>
  </sheetViews>
  <sheetFormatPr defaultColWidth="9.140625" defaultRowHeight="12.75"/>
  <cols>
    <col min="1" max="1" width="4.421875" style="0" customWidth="1"/>
    <col min="2" max="2" width="24.28125" style="0" customWidth="1"/>
    <col min="3" max="3" width="9.28125" style="0" bestFit="1" customWidth="1"/>
    <col min="4" max="4" width="9.140625" style="0" hidden="1" customWidth="1"/>
    <col min="5" max="5" width="11.8515625" style="0" bestFit="1" customWidth="1"/>
    <col min="6" max="6" width="9.28125" style="0" bestFit="1" customWidth="1"/>
    <col min="7" max="7" width="0" style="0" hidden="1" customWidth="1"/>
    <col min="8" max="8" width="9.140625" style="0" hidden="1" customWidth="1"/>
    <col min="9" max="10" width="9.28125" style="0" bestFit="1" customWidth="1"/>
    <col min="11" max="11" width="0" style="0" hidden="1" customWidth="1"/>
    <col min="12" max="12" width="9.140625" style="0" hidden="1" customWidth="1"/>
    <col min="13" max="14" width="9.28125" style="0" bestFit="1" customWidth="1"/>
    <col min="15" max="16" width="0" style="0" hidden="1" customWidth="1"/>
    <col min="17" max="17" width="9.421875" style="0" bestFit="1" customWidth="1"/>
    <col min="18" max="18" width="9.28125" style="0" bestFit="1" customWidth="1"/>
    <col min="19" max="19" width="9.28125" style="0" hidden="1" customWidth="1"/>
    <col min="20" max="20" width="0" style="0" hidden="1" customWidth="1"/>
    <col min="21" max="21" width="9.421875" style="0" bestFit="1" customWidth="1"/>
    <col min="22" max="22" width="10.8515625" style="0" customWidth="1"/>
    <col min="23" max="23" width="9.7109375" style="0" hidden="1" customWidth="1"/>
    <col min="24" max="24" width="9.140625" style="0" hidden="1" customWidth="1"/>
    <col min="25" max="25" width="9.421875" style="0" bestFit="1" customWidth="1"/>
    <col min="26" max="26" width="11.28125" style="0" customWidth="1"/>
    <col min="27" max="27" width="9.7109375" style="0" hidden="1" customWidth="1"/>
    <col min="28" max="28" width="9.140625" style="0" hidden="1" customWidth="1"/>
    <col min="29" max="29" width="9.421875" style="0" bestFit="1" customWidth="1"/>
    <col min="30" max="30" width="9.28125" style="0" bestFit="1" customWidth="1"/>
    <col min="31" max="31" width="9.28125" style="0" hidden="1" customWidth="1"/>
    <col min="32" max="32" width="9.140625" style="0" hidden="1" customWidth="1"/>
    <col min="33" max="33" width="9.421875" style="0" bestFit="1" customWidth="1"/>
    <col min="34" max="34" width="9.28125" style="0" bestFit="1" customWidth="1"/>
    <col min="35" max="35" width="9.28125" style="0" hidden="1" customWidth="1"/>
    <col min="36" max="36" width="9.140625" style="0" hidden="1" customWidth="1"/>
    <col min="37" max="37" width="9.421875" style="0" bestFit="1" customWidth="1"/>
    <col min="38" max="38" width="9.28125" style="0" bestFit="1" customWidth="1"/>
    <col min="39" max="39" width="9.28125" style="0" hidden="1" customWidth="1"/>
    <col min="40" max="40" width="9.140625" style="0" hidden="1" customWidth="1"/>
    <col min="41" max="41" width="9.421875" style="0" bestFit="1" customWidth="1"/>
    <col min="42" max="42" width="9.28125" style="0" bestFit="1" customWidth="1"/>
    <col min="43" max="44" width="9.28125" style="0" hidden="1" customWidth="1"/>
    <col min="45" max="46" width="9.28125" style="0" customWidth="1"/>
    <col min="47" max="48" width="9.28125" style="0" hidden="1" customWidth="1"/>
    <col min="49" max="49" width="7.421875" style="0" customWidth="1"/>
    <col min="50" max="50" width="9.28125" style="0" customWidth="1"/>
    <col min="51" max="51" width="9.28125" style="0" hidden="1" customWidth="1"/>
    <col min="52" max="52" width="8.28125" style="0" customWidth="1"/>
    <col min="53" max="53" width="13.00390625" style="0" customWidth="1"/>
    <col min="54" max="54" width="17.57421875" style="0" customWidth="1"/>
    <col min="57" max="57" width="13.28125" style="0" bestFit="1" customWidth="1"/>
  </cols>
  <sheetData>
    <row r="3" spans="1:53" ht="12.75">
      <c r="A3" s="133" t="s">
        <v>81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73"/>
      <c r="N3" s="133"/>
      <c r="O3" s="133"/>
      <c r="P3" s="133"/>
      <c r="Q3" s="133"/>
      <c r="R3" s="133"/>
      <c r="S3" s="133"/>
      <c r="T3" s="133"/>
      <c r="U3" s="175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53" ht="12.75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73"/>
      <c r="N4" s="133"/>
      <c r="O4" s="133"/>
      <c r="P4" s="133"/>
      <c r="Q4" s="133"/>
      <c r="R4" s="133"/>
      <c r="S4" s="133"/>
      <c r="T4" s="133"/>
      <c r="U4" s="17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</row>
    <row r="5" spans="1:53" ht="12.75">
      <c r="A5" s="399" t="s">
        <v>111</v>
      </c>
      <c r="B5" s="39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73"/>
      <c r="N5" s="133"/>
      <c r="O5" s="133"/>
      <c r="P5" s="133"/>
      <c r="Q5" s="133"/>
      <c r="R5" s="133"/>
      <c r="S5" s="133"/>
      <c r="T5" s="133"/>
      <c r="U5" s="175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</row>
    <row r="6" spans="1:53" ht="12.75">
      <c r="A6" s="274"/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  <c r="N6" s="275"/>
      <c r="O6" s="275"/>
      <c r="P6" s="275"/>
      <c r="Q6" s="275"/>
      <c r="R6" s="275"/>
      <c r="S6" s="275"/>
      <c r="T6" s="275"/>
      <c r="U6" s="277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</row>
    <row r="7" spans="1:53" ht="12.75">
      <c r="A7" s="274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6"/>
      <c r="N7" s="275"/>
      <c r="O7" s="275"/>
      <c r="P7" s="275"/>
      <c r="Q7" s="275"/>
      <c r="R7" s="275"/>
      <c r="S7" s="275"/>
      <c r="T7" s="275"/>
      <c r="U7" s="277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</row>
    <row r="8" spans="1:53" ht="14.25">
      <c r="A8" s="400" t="s">
        <v>107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</row>
    <row r="9" spans="1:53" ht="14.25">
      <c r="A9" s="400" t="s">
        <v>108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</row>
    <row r="10" spans="1:53" ht="14.2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</row>
    <row r="11" spans="1:53" ht="14.2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</row>
    <row r="12" spans="1:54" ht="12.75">
      <c r="A12" s="401" t="s">
        <v>1</v>
      </c>
      <c r="B12" s="401" t="s">
        <v>2</v>
      </c>
      <c r="C12" s="401" t="s">
        <v>63</v>
      </c>
      <c r="D12" s="402" t="s">
        <v>7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4"/>
      <c r="BB12" s="213"/>
    </row>
    <row r="13" spans="1:54" ht="134.25">
      <c r="A13" s="401"/>
      <c r="B13" s="401"/>
      <c r="C13" s="401"/>
      <c r="D13" s="215" t="s">
        <v>8</v>
      </c>
      <c r="E13" s="264" t="s">
        <v>8</v>
      </c>
      <c r="F13" s="134" t="s">
        <v>72</v>
      </c>
      <c r="G13" s="134" t="s">
        <v>72</v>
      </c>
      <c r="H13" s="216" t="s">
        <v>90</v>
      </c>
      <c r="I13" s="267" t="s">
        <v>90</v>
      </c>
      <c r="J13" s="134" t="s">
        <v>72</v>
      </c>
      <c r="K13" s="134" t="s">
        <v>72</v>
      </c>
      <c r="L13" s="216" t="s">
        <v>11</v>
      </c>
      <c r="M13" s="266" t="s">
        <v>11</v>
      </c>
      <c r="N13" s="134" t="s">
        <v>72</v>
      </c>
      <c r="O13" s="134" t="s">
        <v>72</v>
      </c>
      <c r="P13" s="216" t="s">
        <v>12</v>
      </c>
      <c r="Q13" s="272" t="s">
        <v>12</v>
      </c>
      <c r="R13" s="134" t="s">
        <v>72</v>
      </c>
      <c r="S13" s="134" t="s">
        <v>72</v>
      </c>
      <c r="T13" s="216" t="s">
        <v>13</v>
      </c>
      <c r="U13" s="265" t="s">
        <v>13</v>
      </c>
      <c r="V13" s="135" t="s">
        <v>72</v>
      </c>
      <c r="W13" s="135" t="s">
        <v>72</v>
      </c>
      <c r="X13" s="129" t="s">
        <v>14</v>
      </c>
      <c r="Y13" s="264" t="s">
        <v>14</v>
      </c>
      <c r="Z13" s="134" t="s">
        <v>72</v>
      </c>
      <c r="AA13" s="134" t="s">
        <v>72</v>
      </c>
      <c r="AB13" s="171" t="s">
        <v>92</v>
      </c>
      <c r="AC13" s="233" t="s">
        <v>92</v>
      </c>
      <c r="AD13" s="134" t="s">
        <v>72</v>
      </c>
      <c r="AE13" s="176" t="s">
        <v>72</v>
      </c>
      <c r="AF13" s="220" t="s">
        <v>94</v>
      </c>
      <c r="AG13" s="233" t="str">
        <f>AF13</f>
        <v>Измерение сопротивления изоляции</v>
      </c>
      <c r="AH13" s="134" t="s">
        <v>72</v>
      </c>
      <c r="AI13" s="134" t="s">
        <v>72</v>
      </c>
      <c r="AJ13" s="170" t="s">
        <v>93</v>
      </c>
      <c r="AK13" s="233" t="str">
        <f>AJ13</f>
        <v>замена и приобретение приборов учета</v>
      </c>
      <c r="AL13" s="134" t="s">
        <v>72</v>
      </c>
      <c r="AM13" s="134" t="s">
        <v>72</v>
      </c>
      <c r="AN13" s="220" t="s">
        <v>103</v>
      </c>
      <c r="AO13" s="233" t="str">
        <f>AN13</f>
        <v>Ремонт изоляции</v>
      </c>
      <c r="AP13" s="134" t="s">
        <v>72</v>
      </c>
      <c r="AQ13" s="134" t="s">
        <v>72</v>
      </c>
      <c r="AR13" s="236" t="s">
        <v>104</v>
      </c>
      <c r="AS13" s="233" t="s">
        <v>104</v>
      </c>
      <c r="AT13" s="134" t="s">
        <v>72</v>
      </c>
      <c r="AU13" s="134" t="s">
        <v>72</v>
      </c>
      <c r="AV13" s="134" t="s">
        <v>9</v>
      </c>
      <c r="AW13" s="273" t="s">
        <v>9</v>
      </c>
      <c r="AX13" s="134" t="s">
        <v>72</v>
      </c>
      <c r="AY13" s="134" t="s">
        <v>72</v>
      </c>
      <c r="AZ13" s="194" t="s">
        <v>89</v>
      </c>
      <c r="BA13" s="134" t="s">
        <v>72</v>
      </c>
      <c r="BB13" s="134" t="s">
        <v>72</v>
      </c>
    </row>
    <row r="14" spans="1:54" ht="45.75">
      <c r="A14" s="401"/>
      <c r="B14" s="401"/>
      <c r="C14" s="401"/>
      <c r="D14" s="172" t="s">
        <v>15</v>
      </c>
      <c r="E14" s="134" t="s">
        <v>15</v>
      </c>
      <c r="F14" s="134" t="s">
        <v>84</v>
      </c>
      <c r="G14" s="134" t="s">
        <v>84</v>
      </c>
      <c r="H14" s="125"/>
      <c r="I14" s="261" t="s">
        <v>15</v>
      </c>
      <c r="J14" s="134" t="s">
        <v>84</v>
      </c>
      <c r="K14" s="134" t="s">
        <v>84</v>
      </c>
      <c r="L14" s="125"/>
      <c r="M14" s="262" t="s">
        <v>15</v>
      </c>
      <c r="N14" s="134" t="s">
        <v>84</v>
      </c>
      <c r="O14" s="134" t="s">
        <v>84</v>
      </c>
      <c r="P14" s="125"/>
      <c r="Q14" s="262" t="s">
        <v>15</v>
      </c>
      <c r="R14" s="134" t="s">
        <v>84</v>
      </c>
      <c r="S14" s="134" t="s">
        <v>84</v>
      </c>
      <c r="T14" s="125"/>
      <c r="U14" s="263" t="s">
        <v>15</v>
      </c>
      <c r="V14" s="134" t="s">
        <v>84</v>
      </c>
      <c r="W14" s="134" t="s">
        <v>84</v>
      </c>
      <c r="X14" s="125"/>
      <c r="Y14" s="262" t="s">
        <v>15</v>
      </c>
      <c r="Z14" s="134" t="s">
        <v>15</v>
      </c>
      <c r="AA14" s="134" t="s">
        <v>84</v>
      </c>
      <c r="AB14" s="166" t="s">
        <v>15</v>
      </c>
      <c r="AC14" s="268" t="s">
        <v>15</v>
      </c>
      <c r="AD14" s="164" t="s">
        <v>84</v>
      </c>
      <c r="AE14" s="177" t="s">
        <v>84</v>
      </c>
      <c r="AF14" s="168" t="s">
        <v>15</v>
      </c>
      <c r="AG14" s="260" t="s">
        <v>15</v>
      </c>
      <c r="AH14" s="164" t="s">
        <v>84</v>
      </c>
      <c r="AI14" s="164" t="s">
        <v>84</v>
      </c>
      <c r="AJ14" s="168" t="s">
        <v>15</v>
      </c>
      <c r="AK14" s="260" t="s">
        <v>15</v>
      </c>
      <c r="AL14" s="164" t="s">
        <v>84</v>
      </c>
      <c r="AM14" s="164" t="s">
        <v>84</v>
      </c>
      <c r="AN14" s="168" t="s">
        <v>15</v>
      </c>
      <c r="AO14" s="260" t="s">
        <v>15</v>
      </c>
      <c r="AP14" s="164" t="s">
        <v>84</v>
      </c>
      <c r="AQ14" s="164" t="s">
        <v>84</v>
      </c>
      <c r="AR14" s="260" t="s">
        <v>15</v>
      </c>
      <c r="AS14" s="260" t="s">
        <v>15</v>
      </c>
      <c r="AT14" s="164" t="s">
        <v>84</v>
      </c>
      <c r="AU14" s="164" t="s">
        <v>84</v>
      </c>
      <c r="AV14" s="260" t="s">
        <v>15</v>
      </c>
      <c r="AW14" s="260" t="s">
        <v>15</v>
      </c>
      <c r="AX14" s="164" t="s">
        <v>84</v>
      </c>
      <c r="AY14" s="164" t="s">
        <v>84</v>
      </c>
      <c r="AZ14" s="195" t="s">
        <v>15</v>
      </c>
      <c r="BA14" s="177" t="s">
        <v>84</v>
      </c>
      <c r="BB14" s="164" t="s">
        <v>84</v>
      </c>
    </row>
    <row r="15" spans="1:57" ht="21" customHeight="1">
      <c r="A15" s="205">
        <v>1</v>
      </c>
      <c r="B15" s="279" t="s">
        <v>16</v>
      </c>
      <c r="C15" s="206">
        <v>1776.2</v>
      </c>
      <c r="D15" s="121">
        <f>0/C15/12</f>
        <v>0</v>
      </c>
      <c r="E15" s="132">
        <f>ROUND(D15,2)</f>
        <v>0</v>
      </c>
      <c r="F15" s="132">
        <f>E15*C15*12</f>
        <v>0</v>
      </c>
      <c r="G15" s="130">
        <f aca="true" t="shared" si="0" ref="G15:G39">ROUND(F15,0)</f>
        <v>0</v>
      </c>
      <c r="H15" s="232">
        <f>0/C15/12</f>
        <v>0</v>
      </c>
      <c r="I15" s="132">
        <f aca="true" t="shared" si="1" ref="I15:I32">ROUND(H15,2)</f>
        <v>0</v>
      </c>
      <c r="J15" s="130"/>
      <c r="K15" s="130">
        <f>ROUND(J15,0)</f>
        <v>0</v>
      </c>
      <c r="L15" s="232">
        <f aca="true" t="shared" si="2" ref="L15:L39">0/C15/12</f>
        <v>0</v>
      </c>
      <c r="M15" s="167">
        <f>ROUND(L15,2)</f>
        <v>0</v>
      </c>
      <c r="N15" s="130">
        <f aca="true" t="shared" si="3" ref="N15:N39">M15*C15*12</f>
        <v>0</v>
      </c>
      <c r="O15" s="130">
        <f>ROUND(N15,0)</f>
        <v>0</v>
      </c>
      <c r="P15" s="232">
        <f>18000/C15/12</f>
        <v>0.844499493300304</v>
      </c>
      <c r="Q15" s="132">
        <f>ROUND(P15,1)</f>
        <v>0.8</v>
      </c>
      <c r="R15" s="131">
        <f aca="true" t="shared" si="4" ref="R15:R39">Q15*C15*12</f>
        <v>17051.52</v>
      </c>
      <c r="S15" s="131">
        <f>ROUND(R15,0)</f>
        <v>17052</v>
      </c>
      <c r="T15" s="232">
        <f>0/C15/12</f>
        <v>0</v>
      </c>
      <c r="U15" s="132">
        <f aca="true" t="shared" si="5" ref="U15:U32">ROUND(T15,2)</f>
        <v>0</v>
      </c>
      <c r="V15" s="121">
        <f aca="true" t="shared" si="6" ref="V15:V39">U15*C15*12</f>
        <v>0</v>
      </c>
      <c r="W15" s="132">
        <f>ROUND(V15,0)</f>
        <v>0</v>
      </c>
      <c r="X15" s="232">
        <f>0/C15/12</f>
        <v>0</v>
      </c>
      <c r="Y15" s="130">
        <f aca="true" t="shared" si="7" ref="Y15:Y32">ROUND(X15,2)</f>
        <v>0</v>
      </c>
      <c r="Z15" s="132">
        <f aca="true" t="shared" si="8" ref="Z15:Z39">Y15*C15*12</f>
        <v>0</v>
      </c>
      <c r="AA15" s="132">
        <f>ROUND(Z15,0)</f>
        <v>0</v>
      </c>
      <c r="AB15" s="167">
        <f aca="true" t="shared" si="9" ref="AB15:AB25">0/C15/12</f>
        <v>0</v>
      </c>
      <c r="AC15" s="132">
        <f>ROUND(AB15,2)</f>
        <v>0</v>
      </c>
      <c r="AD15" s="130">
        <f aca="true" t="shared" si="10" ref="AD15:AD39">AC15*C15*12</f>
        <v>0</v>
      </c>
      <c r="AE15" s="178">
        <f>ROUND(AD15,0)</f>
        <v>0</v>
      </c>
      <c r="AF15" s="34">
        <f>7150/C15/12</f>
        <v>0.3354539653942874</v>
      </c>
      <c r="AG15" s="167">
        <f>ROUND(AF15,2)</f>
        <v>0.34</v>
      </c>
      <c r="AH15" s="218">
        <f>AG15*C15*12</f>
        <v>7246.896000000001</v>
      </c>
      <c r="AI15" s="218">
        <f>ROUND(AH15,0)</f>
        <v>7247</v>
      </c>
      <c r="AJ15" s="218">
        <f>15000/C15/12</f>
        <v>0.7037495777502533</v>
      </c>
      <c r="AK15" s="167">
        <f>ROUND(AJ15,2)</f>
        <v>0.7</v>
      </c>
      <c r="AL15" s="218">
        <f>AK15*C15*12</f>
        <v>14920.079999999998</v>
      </c>
      <c r="AM15" s="218">
        <f>ROUND(AL15,0)</f>
        <v>14920</v>
      </c>
      <c r="AN15" s="218">
        <f>0/C15/12</f>
        <v>0</v>
      </c>
      <c r="AO15" s="167">
        <f>ROUND(AN15,2)</f>
        <v>0</v>
      </c>
      <c r="AP15" s="218">
        <f>AO15*C15*12</f>
        <v>0</v>
      </c>
      <c r="AQ15" s="218">
        <f>ROUND(AP15,0)</f>
        <v>0</v>
      </c>
      <c r="AR15" s="218">
        <f aca="true" t="shared" si="11" ref="AR15:AR23">10000/C15/12</f>
        <v>0.46916638516683556</v>
      </c>
      <c r="AS15" s="167">
        <f>ROUND(AR15,2)</f>
        <v>0.47</v>
      </c>
      <c r="AT15" s="218">
        <f aca="true" t="shared" si="12" ref="AT15:AT23">AS15*C15*12</f>
        <v>10017.768</v>
      </c>
      <c r="AU15" s="218">
        <f aca="true" t="shared" si="13" ref="AU15:AU23">ROUND(AT15,0)</f>
        <v>10018</v>
      </c>
      <c r="AV15" s="218">
        <f>0/C15/12</f>
        <v>0</v>
      </c>
      <c r="AW15" s="218">
        <f>ROUND(AV15,2)</f>
        <v>0</v>
      </c>
      <c r="AX15" s="218">
        <f>AW15*C15*12</f>
        <v>0</v>
      </c>
      <c r="AY15" s="218">
        <f>ROUND(AX15,0)</f>
        <v>0</v>
      </c>
      <c r="AZ15" s="196">
        <f>E15+I15+M15+Q15+U15+Y15+AC15+AG15+AK15+AO15+AS15+AW15</f>
        <v>2.31</v>
      </c>
      <c r="BA15" s="212">
        <f>F15+J15+N15+R15+V15+Z15+AD15+AH15+AL15+AP15+AT15+AX15</f>
        <v>49236.263999999996</v>
      </c>
      <c r="BB15" s="281">
        <f>ROUND(BA15,0)</f>
        <v>49236</v>
      </c>
      <c r="BE15" s="245"/>
    </row>
    <row r="16" spans="1:57" ht="21" customHeight="1">
      <c r="A16" s="205">
        <v>2</v>
      </c>
      <c r="B16" s="279" t="s">
        <v>18</v>
      </c>
      <c r="C16" s="206">
        <v>1764.86</v>
      </c>
      <c r="D16" s="121">
        <f>0/C16/12</f>
        <v>0</v>
      </c>
      <c r="E16" s="132">
        <f aca="true" t="shared" si="14" ref="E16:E39">ROUND(D16,2)</f>
        <v>0</v>
      </c>
      <c r="F16" s="132">
        <f aca="true" t="shared" si="15" ref="F16:F39">E16*C16*12</f>
        <v>0</v>
      </c>
      <c r="G16" s="130">
        <f t="shared" si="0"/>
        <v>0</v>
      </c>
      <c r="H16" s="232">
        <f aca="true" t="shared" si="16" ref="H16:H34">0/C16/12</f>
        <v>0</v>
      </c>
      <c r="I16" s="132">
        <f t="shared" si="1"/>
        <v>0</v>
      </c>
      <c r="J16" s="130">
        <f aca="true" t="shared" si="17" ref="J16:J39">I16*C16*12</f>
        <v>0</v>
      </c>
      <c r="K16" s="130">
        <f aca="true" t="shared" si="18" ref="K16:K39">ROUND(J16,0)</f>
        <v>0</v>
      </c>
      <c r="L16" s="232">
        <f>23000/C16/12</f>
        <v>1.086016265690574</v>
      </c>
      <c r="M16" s="167">
        <f>ROUND(L16,2)</f>
        <v>1.09</v>
      </c>
      <c r="N16" s="130">
        <f t="shared" si="3"/>
        <v>23084.3688</v>
      </c>
      <c r="O16" s="130">
        <f aca="true" t="shared" si="19" ref="O16:O39">ROUND(N16,0)</f>
        <v>23084</v>
      </c>
      <c r="P16" s="232">
        <f aca="true" t="shared" si="20" ref="P16:P32">0/C16/12</f>
        <v>0</v>
      </c>
      <c r="Q16" s="132">
        <f>ROUND(P16,1)</f>
        <v>0</v>
      </c>
      <c r="R16" s="131">
        <f t="shared" si="4"/>
        <v>0</v>
      </c>
      <c r="S16" s="131">
        <f aca="true" t="shared" si="21" ref="S16:S39">ROUND(R16,0)</f>
        <v>0</v>
      </c>
      <c r="T16" s="232">
        <f>0/C16/12</f>
        <v>0</v>
      </c>
      <c r="U16" s="132">
        <f t="shared" si="5"/>
        <v>0</v>
      </c>
      <c r="V16" s="121">
        <f t="shared" si="6"/>
        <v>0</v>
      </c>
      <c r="W16" s="132">
        <f aca="true" t="shared" si="22" ref="W16:W39">ROUND(V16,0)</f>
        <v>0</v>
      </c>
      <c r="X16" s="232">
        <f>24400/C16/12</f>
        <v>1.1521216036021744</v>
      </c>
      <c r="Y16" s="132">
        <f t="shared" si="7"/>
        <v>1.15</v>
      </c>
      <c r="Z16" s="132">
        <f t="shared" si="8"/>
        <v>24355.067999999996</v>
      </c>
      <c r="AA16" s="132">
        <f aca="true" t="shared" si="23" ref="AA16:AA39">ROUND(Z16,0)</f>
        <v>24355</v>
      </c>
      <c r="AB16" s="167">
        <f t="shared" si="9"/>
        <v>0</v>
      </c>
      <c r="AC16" s="132">
        <f aca="true" t="shared" si="24" ref="AC16:AC39">ROUND(AB16,2)</f>
        <v>0</v>
      </c>
      <c r="AD16" s="130">
        <f t="shared" si="10"/>
        <v>0</v>
      </c>
      <c r="AE16" s="178">
        <f aca="true" t="shared" si="25" ref="AE16:AE40">ROUND(AD16,0)</f>
        <v>0</v>
      </c>
      <c r="AF16" s="34">
        <f>4200/C16/12</f>
        <v>0.19831601373480048</v>
      </c>
      <c r="AG16" s="167">
        <f aca="true" t="shared" si="26" ref="AG16:AG32">ROUND(AF16,2)</f>
        <v>0.2</v>
      </c>
      <c r="AH16" s="218">
        <f aca="true" t="shared" si="27" ref="AH16:AH39">AG16*C16*12</f>
        <v>4235.664</v>
      </c>
      <c r="AI16" s="218">
        <f aca="true" t="shared" si="28" ref="AI16:AI39">ROUND(AH16,0)</f>
        <v>4236</v>
      </c>
      <c r="AJ16" s="218">
        <f aca="true" t="shared" si="29" ref="AJ16:AJ32">15000/C16/12</f>
        <v>0.7082714776242875</v>
      </c>
      <c r="AK16" s="167">
        <f aca="true" t="shared" si="30" ref="AK16:AK39">ROUND(AJ16,2)</f>
        <v>0.71</v>
      </c>
      <c r="AL16" s="218">
        <f aca="true" t="shared" si="31" ref="AL16:AL32">AK16*C16*12</f>
        <v>15036.607199999999</v>
      </c>
      <c r="AM16" s="218">
        <f aca="true" t="shared" si="32" ref="AM16:AM32">ROUND(AL16,0)</f>
        <v>15037</v>
      </c>
      <c r="AN16" s="218">
        <f aca="true" t="shared" si="33" ref="AN16:AN31">0/C16/12</f>
        <v>0</v>
      </c>
      <c r="AO16" s="167">
        <f aca="true" t="shared" si="34" ref="AO16:AO32">ROUND(AN16,2)</f>
        <v>0</v>
      </c>
      <c r="AP16" s="218">
        <f>AO16*C16*12</f>
        <v>0</v>
      </c>
      <c r="AQ16" s="218">
        <f aca="true" t="shared" si="35" ref="AQ16:AQ32">ROUND(AP16,0)</f>
        <v>0</v>
      </c>
      <c r="AR16" s="218">
        <f t="shared" si="11"/>
        <v>0.4721809850828584</v>
      </c>
      <c r="AS16" s="167">
        <f aca="true" t="shared" si="36" ref="AS16:AS23">ROUND(AR16,2)</f>
        <v>0.47</v>
      </c>
      <c r="AT16" s="218">
        <f t="shared" si="12"/>
        <v>9953.810399999998</v>
      </c>
      <c r="AU16" s="218">
        <f t="shared" si="13"/>
        <v>9954</v>
      </c>
      <c r="AV16" s="218">
        <f aca="true" t="shared" si="37" ref="AV16:AV39">0/C16/12</f>
        <v>0</v>
      </c>
      <c r="AW16" s="218">
        <f aca="true" t="shared" si="38" ref="AW16:AW39">ROUND(AV16,2)</f>
        <v>0</v>
      </c>
      <c r="AX16" s="218">
        <f aca="true" t="shared" si="39" ref="AX16:AX39">AW16*C16*12</f>
        <v>0</v>
      </c>
      <c r="AY16" s="218">
        <f aca="true" t="shared" si="40" ref="AY16:AY40">ROUND(AX16,0)</f>
        <v>0</v>
      </c>
      <c r="AZ16" s="196">
        <f aca="true" t="shared" si="41" ref="AZ16:AZ39">E16+I16+M16+Q16+U16+Y16+AC16+AG16+AK16+AO16+AS16+AW16</f>
        <v>3.62</v>
      </c>
      <c r="BA16" s="212">
        <f aca="true" t="shared" si="42" ref="BA16:BA39">F16+J16+N16+R16+V16+Z16+AD16+AH16+AL16+AP16+AT16+AX16</f>
        <v>76665.51839999999</v>
      </c>
      <c r="BB16" s="281">
        <f aca="true" t="shared" si="43" ref="BB16:BB32">ROUND(BA16,0)</f>
        <v>76666</v>
      </c>
      <c r="BE16" s="245"/>
    </row>
    <row r="17" spans="1:57" ht="21" customHeight="1">
      <c r="A17" s="205">
        <v>3</v>
      </c>
      <c r="B17" s="279" t="s">
        <v>19</v>
      </c>
      <c r="C17" s="206">
        <v>5848.1</v>
      </c>
      <c r="D17" s="121">
        <f>0/C17/12</f>
        <v>0</v>
      </c>
      <c r="E17" s="132">
        <f t="shared" si="14"/>
        <v>0</v>
      </c>
      <c r="F17" s="132">
        <f t="shared" si="15"/>
        <v>0</v>
      </c>
      <c r="G17" s="130">
        <f t="shared" si="0"/>
        <v>0</v>
      </c>
      <c r="H17" s="232">
        <f>20000/C17/12</f>
        <v>0.28499284667954833</v>
      </c>
      <c r="I17" s="132">
        <f t="shared" si="1"/>
        <v>0.28</v>
      </c>
      <c r="J17" s="130">
        <f t="shared" si="17"/>
        <v>19649.616</v>
      </c>
      <c r="K17" s="130">
        <f t="shared" si="18"/>
        <v>19650</v>
      </c>
      <c r="L17" s="232">
        <f>32000/C17/12</f>
        <v>0.45598855468727734</v>
      </c>
      <c r="M17" s="167">
        <f aca="true" t="shared" si="44" ref="M17:M39">ROUND(L17,2)</f>
        <v>0.46</v>
      </c>
      <c r="N17" s="130">
        <f t="shared" si="3"/>
        <v>32281.512000000002</v>
      </c>
      <c r="O17" s="130">
        <f t="shared" si="19"/>
        <v>32282</v>
      </c>
      <c r="P17" s="232">
        <f t="shared" si="20"/>
        <v>0</v>
      </c>
      <c r="Q17" s="132">
        <f>ROUND(P17,1)</f>
        <v>0</v>
      </c>
      <c r="R17" s="131">
        <f t="shared" si="4"/>
        <v>0</v>
      </c>
      <c r="S17" s="131">
        <f t="shared" si="21"/>
        <v>0</v>
      </c>
      <c r="T17" s="232">
        <f aca="true" t="shared" si="45" ref="T17:T39">0/C17/12</f>
        <v>0</v>
      </c>
      <c r="U17" s="132">
        <f t="shared" si="5"/>
        <v>0</v>
      </c>
      <c r="V17" s="121">
        <f t="shared" si="6"/>
        <v>0</v>
      </c>
      <c r="W17" s="132">
        <f t="shared" si="22"/>
        <v>0</v>
      </c>
      <c r="X17" s="232">
        <f>14000/C17/12</f>
        <v>0.19949499267568382</v>
      </c>
      <c r="Y17" s="132">
        <f t="shared" si="7"/>
        <v>0.2</v>
      </c>
      <c r="Z17" s="132">
        <f t="shared" si="8"/>
        <v>14035.440000000002</v>
      </c>
      <c r="AA17" s="132">
        <f t="shared" si="23"/>
        <v>14035</v>
      </c>
      <c r="AB17" s="167">
        <f>25000/C17/12</f>
        <v>0.35624105834943537</v>
      </c>
      <c r="AC17" s="132">
        <f t="shared" si="24"/>
        <v>0.36</v>
      </c>
      <c r="AD17" s="130">
        <f t="shared" si="10"/>
        <v>25263.792</v>
      </c>
      <c r="AE17" s="178">
        <f t="shared" si="25"/>
        <v>25264</v>
      </c>
      <c r="AF17" s="34">
        <f>5300/C17/12</f>
        <v>0.07552310437008031</v>
      </c>
      <c r="AG17" s="167">
        <f t="shared" si="26"/>
        <v>0.08</v>
      </c>
      <c r="AH17" s="218">
        <f t="shared" si="27"/>
        <v>5614.176</v>
      </c>
      <c r="AI17" s="218">
        <f t="shared" si="28"/>
        <v>5614</v>
      </c>
      <c r="AJ17" s="218">
        <f t="shared" si="29"/>
        <v>0.21374463500966123</v>
      </c>
      <c r="AK17" s="167">
        <f t="shared" si="30"/>
        <v>0.21</v>
      </c>
      <c r="AL17" s="218">
        <f>AK17*C17*12</f>
        <v>14737.212000000001</v>
      </c>
      <c r="AM17" s="218">
        <f t="shared" si="32"/>
        <v>14737</v>
      </c>
      <c r="AN17" s="218">
        <f>25000/C17/12</f>
        <v>0.35624105834943537</v>
      </c>
      <c r="AO17" s="167">
        <f t="shared" si="34"/>
        <v>0.36</v>
      </c>
      <c r="AP17" s="218">
        <f>AO17*C17*12</f>
        <v>25263.792</v>
      </c>
      <c r="AQ17" s="218">
        <f t="shared" si="35"/>
        <v>25264</v>
      </c>
      <c r="AR17" s="218">
        <f t="shared" si="11"/>
        <v>0.14249642333977416</v>
      </c>
      <c r="AS17" s="167">
        <f t="shared" si="36"/>
        <v>0.14</v>
      </c>
      <c r="AT17" s="218">
        <f t="shared" si="12"/>
        <v>9824.808</v>
      </c>
      <c r="AU17" s="218">
        <f t="shared" si="13"/>
        <v>9825</v>
      </c>
      <c r="AV17" s="218">
        <f t="shared" si="37"/>
        <v>0</v>
      </c>
      <c r="AW17" s="218">
        <f t="shared" si="38"/>
        <v>0</v>
      </c>
      <c r="AX17" s="218">
        <f t="shared" si="39"/>
        <v>0</v>
      </c>
      <c r="AY17" s="218">
        <f t="shared" si="40"/>
        <v>0</v>
      </c>
      <c r="AZ17" s="196">
        <f t="shared" si="41"/>
        <v>2.09</v>
      </c>
      <c r="BA17" s="212">
        <f t="shared" si="42"/>
        <v>146670.348</v>
      </c>
      <c r="BB17" s="281">
        <f t="shared" si="43"/>
        <v>146670</v>
      </c>
      <c r="BE17" s="245"/>
    </row>
    <row r="18" spans="1:57" ht="21" customHeight="1">
      <c r="A18" s="205">
        <v>4</v>
      </c>
      <c r="B18" s="280" t="s">
        <v>21</v>
      </c>
      <c r="C18" s="206">
        <v>3668.19</v>
      </c>
      <c r="D18" s="121">
        <f>20000/C18/12</f>
        <v>0.4543566899933391</v>
      </c>
      <c r="E18" s="132">
        <f t="shared" si="14"/>
        <v>0.45</v>
      </c>
      <c r="F18" s="132">
        <f t="shared" si="15"/>
        <v>19808.226000000002</v>
      </c>
      <c r="G18" s="130">
        <f t="shared" si="0"/>
        <v>19808</v>
      </c>
      <c r="H18" s="232">
        <f t="shared" si="16"/>
        <v>0</v>
      </c>
      <c r="I18" s="132">
        <f t="shared" si="1"/>
        <v>0</v>
      </c>
      <c r="J18" s="130">
        <f t="shared" si="17"/>
        <v>0</v>
      </c>
      <c r="K18" s="130">
        <f t="shared" si="18"/>
        <v>0</v>
      </c>
      <c r="L18" s="232">
        <f t="shared" si="2"/>
        <v>0</v>
      </c>
      <c r="M18" s="167">
        <f t="shared" si="44"/>
        <v>0</v>
      </c>
      <c r="N18" s="130">
        <f t="shared" si="3"/>
        <v>0</v>
      </c>
      <c r="O18" s="130">
        <f t="shared" si="19"/>
        <v>0</v>
      </c>
      <c r="P18" s="232">
        <f t="shared" si="20"/>
        <v>0</v>
      </c>
      <c r="Q18" s="132">
        <f aca="true" t="shared" si="46" ref="Q18:Q32">ROUND(P18,2)</f>
        <v>0</v>
      </c>
      <c r="R18" s="131">
        <f t="shared" si="4"/>
        <v>0</v>
      </c>
      <c r="S18" s="131">
        <f t="shared" si="21"/>
        <v>0</v>
      </c>
      <c r="T18" s="232">
        <f t="shared" si="45"/>
        <v>0</v>
      </c>
      <c r="U18" s="132">
        <f t="shared" si="5"/>
        <v>0</v>
      </c>
      <c r="V18" s="121">
        <f t="shared" si="6"/>
        <v>0</v>
      </c>
      <c r="W18" s="132">
        <f t="shared" si="22"/>
        <v>0</v>
      </c>
      <c r="X18" s="232">
        <f>12000/C18/12</f>
        <v>0.2726140139960035</v>
      </c>
      <c r="Y18" s="132">
        <f t="shared" si="7"/>
        <v>0.27</v>
      </c>
      <c r="Z18" s="132">
        <f t="shared" si="8"/>
        <v>11884.9356</v>
      </c>
      <c r="AA18" s="132">
        <f t="shared" si="23"/>
        <v>11885</v>
      </c>
      <c r="AB18" s="234">
        <f>6000/C18/12</f>
        <v>0.13630700699800175</v>
      </c>
      <c r="AC18" s="132">
        <f t="shared" si="24"/>
        <v>0.14</v>
      </c>
      <c r="AD18" s="130">
        <f t="shared" si="10"/>
        <v>6162.5592</v>
      </c>
      <c r="AE18" s="178">
        <f t="shared" si="25"/>
        <v>6163</v>
      </c>
      <c r="AF18" s="34">
        <f>6400/C18/12</f>
        <v>0.14539414079786853</v>
      </c>
      <c r="AG18" s="167">
        <f t="shared" si="26"/>
        <v>0.15</v>
      </c>
      <c r="AH18" s="218">
        <f t="shared" si="27"/>
        <v>6602.741999999999</v>
      </c>
      <c r="AI18" s="218">
        <f t="shared" si="28"/>
        <v>6603</v>
      </c>
      <c r="AJ18" s="218">
        <f t="shared" si="29"/>
        <v>0.3407675174950044</v>
      </c>
      <c r="AK18" s="167">
        <f t="shared" si="30"/>
        <v>0.34</v>
      </c>
      <c r="AL18" s="218">
        <f t="shared" si="31"/>
        <v>14966.2152</v>
      </c>
      <c r="AM18" s="218">
        <f t="shared" si="32"/>
        <v>14966</v>
      </c>
      <c r="AN18" s="218">
        <f>33000/C18/12</f>
        <v>0.7496885384890096</v>
      </c>
      <c r="AO18" s="167">
        <f t="shared" si="34"/>
        <v>0.75</v>
      </c>
      <c r="AP18" s="218">
        <f aca="true" t="shared" si="47" ref="AP18:AP32">AO18*C18*12</f>
        <v>33013.71</v>
      </c>
      <c r="AQ18" s="218">
        <f t="shared" si="35"/>
        <v>33014</v>
      </c>
      <c r="AR18" s="218">
        <f t="shared" si="11"/>
        <v>0.22717834499666956</v>
      </c>
      <c r="AS18" s="167">
        <f t="shared" si="36"/>
        <v>0.23</v>
      </c>
      <c r="AT18" s="218">
        <f t="shared" si="12"/>
        <v>10124.2044</v>
      </c>
      <c r="AU18" s="218">
        <f t="shared" si="13"/>
        <v>10124</v>
      </c>
      <c r="AV18" s="218">
        <f t="shared" si="37"/>
        <v>0</v>
      </c>
      <c r="AW18" s="218">
        <f t="shared" si="38"/>
        <v>0</v>
      </c>
      <c r="AX18" s="218">
        <f t="shared" si="39"/>
        <v>0</v>
      </c>
      <c r="AY18" s="218">
        <f t="shared" si="40"/>
        <v>0</v>
      </c>
      <c r="AZ18" s="196">
        <f t="shared" si="41"/>
        <v>2.33</v>
      </c>
      <c r="BA18" s="212">
        <f t="shared" si="42"/>
        <v>102562.59240000001</v>
      </c>
      <c r="BB18" s="281">
        <f t="shared" si="43"/>
        <v>102563</v>
      </c>
      <c r="BE18" s="245"/>
    </row>
    <row r="19" spans="1:57" ht="21" customHeight="1">
      <c r="A19" s="205">
        <v>5</v>
      </c>
      <c r="B19" s="279" t="s">
        <v>22</v>
      </c>
      <c r="C19" s="206">
        <v>1470.1</v>
      </c>
      <c r="D19" s="121">
        <f>11000/C19/12</f>
        <v>0.6235403487291115</v>
      </c>
      <c r="E19" s="132">
        <f t="shared" si="14"/>
        <v>0.62</v>
      </c>
      <c r="F19" s="132">
        <f t="shared" si="15"/>
        <v>10937.544</v>
      </c>
      <c r="G19" s="130">
        <f t="shared" si="0"/>
        <v>10938</v>
      </c>
      <c r="H19" s="232">
        <f t="shared" si="16"/>
        <v>0</v>
      </c>
      <c r="I19" s="132">
        <f t="shared" si="1"/>
        <v>0</v>
      </c>
      <c r="J19" s="130">
        <f t="shared" si="17"/>
        <v>0</v>
      </c>
      <c r="K19" s="130">
        <f t="shared" si="18"/>
        <v>0</v>
      </c>
      <c r="L19" s="232">
        <f t="shared" si="2"/>
        <v>0</v>
      </c>
      <c r="M19" s="167">
        <f t="shared" si="44"/>
        <v>0</v>
      </c>
      <c r="N19" s="130">
        <f t="shared" si="3"/>
        <v>0</v>
      </c>
      <c r="O19" s="130">
        <f t="shared" si="19"/>
        <v>0</v>
      </c>
      <c r="P19" s="232">
        <f t="shared" si="20"/>
        <v>0</v>
      </c>
      <c r="Q19" s="132">
        <f t="shared" si="46"/>
        <v>0</v>
      </c>
      <c r="R19" s="131">
        <f t="shared" si="4"/>
        <v>0</v>
      </c>
      <c r="S19" s="131">
        <f t="shared" si="21"/>
        <v>0</v>
      </c>
      <c r="T19" s="232">
        <f>84000/C19/12</f>
        <v>4.761580844840487</v>
      </c>
      <c r="U19" s="132">
        <f t="shared" si="5"/>
        <v>4.76</v>
      </c>
      <c r="V19" s="121">
        <f t="shared" si="6"/>
        <v>83972.112</v>
      </c>
      <c r="W19" s="132">
        <f t="shared" si="22"/>
        <v>83972</v>
      </c>
      <c r="X19" s="232">
        <f>0/C19/12</f>
        <v>0</v>
      </c>
      <c r="Y19" s="132">
        <f t="shared" si="7"/>
        <v>0</v>
      </c>
      <c r="Z19" s="132">
        <f t="shared" si="8"/>
        <v>0</v>
      </c>
      <c r="AA19" s="132">
        <f t="shared" si="23"/>
        <v>0</v>
      </c>
      <c r="AB19" s="234">
        <f t="shared" si="9"/>
        <v>0</v>
      </c>
      <c r="AC19" s="132">
        <f t="shared" si="24"/>
        <v>0</v>
      </c>
      <c r="AD19" s="130">
        <f t="shared" si="10"/>
        <v>0</v>
      </c>
      <c r="AE19" s="178">
        <f t="shared" si="25"/>
        <v>0</v>
      </c>
      <c r="AF19" s="34">
        <f>3000/C19/12</f>
        <v>0.1700564587443031</v>
      </c>
      <c r="AG19" s="167">
        <f t="shared" si="26"/>
        <v>0.17</v>
      </c>
      <c r="AH19" s="218">
        <f t="shared" si="27"/>
        <v>2999.004</v>
      </c>
      <c r="AI19" s="218">
        <f t="shared" si="28"/>
        <v>2999</v>
      </c>
      <c r="AJ19" s="218">
        <f t="shared" si="29"/>
        <v>0.8502822937215155</v>
      </c>
      <c r="AK19" s="167">
        <f t="shared" si="30"/>
        <v>0.85</v>
      </c>
      <c r="AL19" s="218">
        <f t="shared" si="31"/>
        <v>14995.019999999997</v>
      </c>
      <c r="AM19" s="218">
        <f t="shared" si="32"/>
        <v>14995</v>
      </c>
      <c r="AN19" s="218">
        <f t="shared" si="33"/>
        <v>0</v>
      </c>
      <c r="AO19" s="167">
        <f t="shared" si="34"/>
        <v>0</v>
      </c>
      <c r="AP19" s="218">
        <f t="shared" si="47"/>
        <v>0</v>
      </c>
      <c r="AQ19" s="218">
        <f t="shared" si="35"/>
        <v>0</v>
      </c>
      <c r="AR19" s="218">
        <f t="shared" si="11"/>
        <v>0.5668548624810105</v>
      </c>
      <c r="AS19" s="167">
        <f t="shared" si="36"/>
        <v>0.57</v>
      </c>
      <c r="AT19" s="218">
        <f t="shared" si="12"/>
        <v>10055.483999999999</v>
      </c>
      <c r="AU19" s="218">
        <f t="shared" si="13"/>
        <v>10055</v>
      </c>
      <c r="AV19" s="218">
        <f t="shared" si="37"/>
        <v>0</v>
      </c>
      <c r="AW19" s="218">
        <f t="shared" si="38"/>
        <v>0</v>
      </c>
      <c r="AX19" s="218">
        <f t="shared" si="39"/>
        <v>0</v>
      </c>
      <c r="AY19" s="218">
        <f t="shared" si="40"/>
        <v>0</v>
      </c>
      <c r="AZ19" s="196">
        <f t="shared" si="41"/>
        <v>6.97</v>
      </c>
      <c r="BA19" s="212">
        <f t="shared" si="42"/>
        <v>122959.16399999999</v>
      </c>
      <c r="BB19" s="281">
        <f t="shared" si="43"/>
        <v>122959</v>
      </c>
      <c r="BE19" s="245"/>
    </row>
    <row r="20" spans="1:57" ht="21" customHeight="1">
      <c r="A20" s="205">
        <v>6</v>
      </c>
      <c r="B20" s="279" t="s">
        <v>23</v>
      </c>
      <c r="C20" s="206">
        <v>3659.96</v>
      </c>
      <c r="D20" s="121">
        <f>22500/C20/12</f>
        <v>0.5123006808817583</v>
      </c>
      <c r="E20" s="132">
        <f t="shared" si="14"/>
        <v>0.51</v>
      </c>
      <c r="F20" s="132">
        <f t="shared" si="15"/>
        <v>22398.9552</v>
      </c>
      <c r="G20" s="130">
        <f t="shared" si="0"/>
        <v>22399</v>
      </c>
      <c r="H20" s="232">
        <f t="shared" si="16"/>
        <v>0</v>
      </c>
      <c r="I20" s="132">
        <f t="shared" si="1"/>
        <v>0</v>
      </c>
      <c r="J20" s="130">
        <f t="shared" si="17"/>
        <v>0</v>
      </c>
      <c r="K20" s="130">
        <f t="shared" si="18"/>
        <v>0</v>
      </c>
      <c r="L20" s="232">
        <f t="shared" si="2"/>
        <v>0</v>
      </c>
      <c r="M20" s="167">
        <f t="shared" si="44"/>
        <v>0</v>
      </c>
      <c r="N20" s="130">
        <f t="shared" si="3"/>
        <v>0</v>
      </c>
      <c r="O20" s="136">
        <f t="shared" si="19"/>
        <v>0</v>
      </c>
      <c r="P20" s="232">
        <f t="shared" si="20"/>
        <v>0</v>
      </c>
      <c r="Q20" s="132">
        <f t="shared" si="46"/>
        <v>0</v>
      </c>
      <c r="R20" s="131">
        <f t="shared" si="4"/>
        <v>0</v>
      </c>
      <c r="S20" s="131">
        <f t="shared" si="21"/>
        <v>0</v>
      </c>
      <c r="T20" s="232">
        <f t="shared" si="45"/>
        <v>0</v>
      </c>
      <c r="U20" s="132">
        <f t="shared" si="5"/>
        <v>0</v>
      </c>
      <c r="V20" s="121">
        <f t="shared" si="6"/>
        <v>0</v>
      </c>
      <c r="W20" s="132">
        <f t="shared" si="22"/>
        <v>0</v>
      </c>
      <c r="X20" s="232">
        <f>36000/C20/12</f>
        <v>0.8196810894108132</v>
      </c>
      <c r="Y20" s="132">
        <f t="shared" si="7"/>
        <v>0.82</v>
      </c>
      <c r="Z20" s="132">
        <f t="shared" si="8"/>
        <v>36014.0064</v>
      </c>
      <c r="AA20" s="132">
        <f t="shared" si="23"/>
        <v>36014</v>
      </c>
      <c r="AB20" s="234">
        <f>6000/C20/12</f>
        <v>0.1366135149018022</v>
      </c>
      <c r="AC20" s="132">
        <f t="shared" si="24"/>
        <v>0.14</v>
      </c>
      <c r="AD20" s="130">
        <f t="shared" si="10"/>
        <v>6148.7328</v>
      </c>
      <c r="AE20" s="178">
        <f t="shared" si="25"/>
        <v>6149</v>
      </c>
      <c r="AF20" s="34">
        <f>6900/C20/12</f>
        <v>0.15710554213707253</v>
      </c>
      <c r="AG20" s="167">
        <f t="shared" si="26"/>
        <v>0.16</v>
      </c>
      <c r="AH20" s="218">
        <f t="shared" si="27"/>
        <v>7027.1232</v>
      </c>
      <c r="AI20" s="218">
        <f t="shared" si="28"/>
        <v>7027</v>
      </c>
      <c r="AJ20" s="218">
        <f t="shared" si="29"/>
        <v>0.3415337872545055</v>
      </c>
      <c r="AK20" s="167">
        <f t="shared" si="30"/>
        <v>0.34</v>
      </c>
      <c r="AL20" s="218">
        <f t="shared" si="31"/>
        <v>14932.6368</v>
      </c>
      <c r="AM20" s="218">
        <f t="shared" si="32"/>
        <v>14933</v>
      </c>
      <c r="AN20" s="218">
        <f>34000/C20/12</f>
        <v>0.7741432511102125</v>
      </c>
      <c r="AO20" s="167">
        <f t="shared" si="34"/>
        <v>0.77</v>
      </c>
      <c r="AP20" s="218">
        <f t="shared" si="47"/>
        <v>33818.0304</v>
      </c>
      <c r="AQ20" s="218">
        <f t="shared" si="35"/>
        <v>33818</v>
      </c>
      <c r="AR20" s="218">
        <f t="shared" si="11"/>
        <v>0.22768919150300368</v>
      </c>
      <c r="AS20" s="167">
        <f t="shared" si="36"/>
        <v>0.23</v>
      </c>
      <c r="AT20" s="218">
        <f t="shared" si="12"/>
        <v>10101.4896</v>
      </c>
      <c r="AU20" s="218">
        <f t="shared" si="13"/>
        <v>10101</v>
      </c>
      <c r="AV20" s="218">
        <f t="shared" si="37"/>
        <v>0</v>
      </c>
      <c r="AW20" s="218">
        <f t="shared" si="38"/>
        <v>0</v>
      </c>
      <c r="AX20" s="218">
        <f t="shared" si="39"/>
        <v>0</v>
      </c>
      <c r="AY20" s="218">
        <f t="shared" si="40"/>
        <v>0</v>
      </c>
      <c r="AZ20" s="196">
        <f t="shared" si="41"/>
        <v>2.97</v>
      </c>
      <c r="BA20" s="212">
        <f t="shared" si="42"/>
        <v>130440.97439999999</v>
      </c>
      <c r="BB20" s="281">
        <f t="shared" si="43"/>
        <v>130441</v>
      </c>
      <c r="BE20" s="245"/>
    </row>
    <row r="21" spans="1:57" ht="21" customHeight="1">
      <c r="A21" s="205">
        <v>7</v>
      </c>
      <c r="B21" s="279" t="s">
        <v>24</v>
      </c>
      <c r="C21" s="206">
        <v>3669.9</v>
      </c>
      <c r="D21" s="232">
        <f>36000/C21/12</f>
        <v>0.817460966238862</v>
      </c>
      <c r="E21" s="132">
        <f t="shared" si="14"/>
        <v>0.82</v>
      </c>
      <c r="F21" s="132">
        <f t="shared" si="15"/>
        <v>36111.816</v>
      </c>
      <c r="G21" s="130">
        <f t="shared" si="0"/>
        <v>36112</v>
      </c>
      <c r="H21" s="232">
        <f t="shared" si="16"/>
        <v>0</v>
      </c>
      <c r="I21" s="132">
        <f t="shared" si="1"/>
        <v>0</v>
      </c>
      <c r="J21" s="130">
        <f t="shared" si="17"/>
        <v>0</v>
      </c>
      <c r="K21" s="130">
        <f t="shared" si="18"/>
        <v>0</v>
      </c>
      <c r="L21" s="232">
        <f t="shared" si="2"/>
        <v>0</v>
      </c>
      <c r="M21" s="167">
        <f t="shared" si="44"/>
        <v>0</v>
      </c>
      <c r="N21" s="130">
        <f t="shared" si="3"/>
        <v>0</v>
      </c>
      <c r="O21" s="130">
        <f t="shared" si="19"/>
        <v>0</v>
      </c>
      <c r="P21" s="232">
        <f>25000/C21/12</f>
        <v>0.5676812265547654</v>
      </c>
      <c r="Q21" s="132">
        <f t="shared" si="46"/>
        <v>0.57</v>
      </c>
      <c r="R21" s="131">
        <f t="shared" si="4"/>
        <v>25102.115999999998</v>
      </c>
      <c r="S21" s="131">
        <f t="shared" si="21"/>
        <v>25102</v>
      </c>
      <c r="T21" s="232">
        <f>35000/C21/12</f>
        <v>0.7947537171766714</v>
      </c>
      <c r="U21" s="132">
        <f t="shared" si="5"/>
        <v>0.79</v>
      </c>
      <c r="V21" s="121">
        <f t="shared" si="6"/>
        <v>34790.652</v>
      </c>
      <c r="W21" s="132">
        <f t="shared" si="22"/>
        <v>34791</v>
      </c>
      <c r="X21" s="232">
        <f>36000/C21/12</f>
        <v>0.817460966238862</v>
      </c>
      <c r="Y21" s="132">
        <f t="shared" si="7"/>
        <v>0.82</v>
      </c>
      <c r="Z21" s="132">
        <f t="shared" si="8"/>
        <v>36111.816</v>
      </c>
      <c r="AA21" s="132">
        <f t="shared" si="23"/>
        <v>36112</v>
      </c>
      <c r="AB21" s="234">
        <f>6000/C21/12</f>
        <v>0.13624349437314368</v>
      </c>
      <c r="AC21" s="132">
        <f t="shared" si="24"/>
        <v>0.14</v>
      </c>
      <c r="AD21" s="130">
        <f t="shared" si="10"/>
        <v>6165.432000000001</v>
      </c>
      <c r="AE21" s="178">
        <f t="shared" si="25"/>
        <v>6165</v>
      </c>
      <c r="AF21" s="34">
        <f>6400/C21/12</f>
        <v>0.14532639399801991</v>
      </c>
      <c r="AG21" s="167">
        <f t="shared" si="26"/>
        <v>0.15</v>
      </c>
      <c r="AH21" s="218">
        <f t="shared" si="27"/>
        <v>6605.82</v>
      </c>
      <c r="AI21" s="218">
        <f t="shared" si="28"/>
        <v>6606</v>
      </c>
      <c r="AJ21" s="218">
        <f t="shared" si="29"/>
        <v>0.3406087359328592</v>
      </c>
      <c r="AK21" s="167">
        <f t="shared" si="30"/>
        <v>0.34</v>
      </c>
      <c r="AL21" s="218">
        <f t="shared" si="31"/>
        <v>14973.192000000001</v>
      </c>
      <c r="AM21" s="218">
        <f t="shared" si="32"/>
        <v>14973</v>
      </c>
      <c r="AN21" s="218">
        <f>20000/C21/12</f>
        <v>0.45414498124381225</v>
      </c>
      <c r="AO21" s="167">
        <f t="shared" si="34"/>
        <v>0.45</v>
      </c>
      <c r="AP21" s="218">
        <f t="shared" si="47"/>
        <v>19817.460000000003</v>
      </c>
      <c r="AQ21" s="218">
        <f t="shared" si="35"/>
        <v>19817</v>
      </c>
      <c r="AR21" s="218">
        <f t="shared" si="11"/>
        <v>0.22707249062190613</v>
      </c>
      <c r="AS21" s="167">
        <f t="shared" si="36"/>
        <v>0.23</v>
      </c>
      <c r="AT21" s="218">
        <f t="shared" si="12"/>
        <v>10128.924</v>
      </c>
      <c r="AU21" s="218">
        <f t="shared" si="13"/>
        <v>10129</v>
      </c>
      <c r="AV21" s="218">
        <f t="shared" si="37"/>
        <v>0</v>
      </c>
      <c r="AW21" s="218">
        <f t="shared" si="38"/>
        <v>0</v>
      </c>
      <c r="AX21" s="218">
        <f t="shared" si="39"/>
        <v>0</v>
      </c>
      <c r="AY21" s="218">
        <f t="shared" si="40"/>
        <v>0</v>
      </c>
      <c r="AZ21" s="196">
        <f t="shared" si="41"/>
        <v>4.31</v>
      </c>
      <c r="BA21" s="212">
        <f t="shared" si="42"/>
        <v>189807.228</v>
      </c>
      <c r="BB21" s="281">
        <f t="shared" si="43"/>
        <v>189807</v>
      </c>
      <c r="BE21" s="245"/>
    </row>
    <row r="22" spans="1:57" ht="21" customHeight="1">
      <c r="A22" s="205">
        <v>8</v>
      </c>
      <c r="B22" s="279" t="s">
        <v>25</v>
      </c>
      <c r="C22" s="206">
        <v>1469.5</v>
      </c>
      <c r="D22" s="232">
        <f>0/C22/12</f>
        <v>0</v>
      </c>
      <c r="E22" s="132">
        <f t="shared" si="14"/>
        <v>0</v>
      </c>
      <c r="F22" s="132">
        <f t="shared" si="15"/>
        <v>0</v>
      </c>
      <c r="G22" s="130">
        <f t="shared" si="0"/>
        <v>0</v>
      </c>
      <c r="H22" s="232">
        <f t="shared" si="16"/>
        <v>0</v>
      </c>
      <c r="I22" s="132">
        <f t="shared" si="1"/>
        <v>0</v>
      </c>
      <c r="J22" s="130">
        <f t="shared" si="17"/>
        <v>0</v>
      </c>
      <c r="K22" s="130">
        <f t="shared" si="18"/>
        <v>0</v>
      </c>
      <c r="L22" s="232">
        <f t="shared" si="2"/>
        <v>0</v>
      </c>
      <c r="M22" s="167">
        <f t="shared" si="44"/>
        <v>0</v>
      </c>
      <c r="N22" s="130">
        <f t="shared" si="3"/>
        <v>0</v>
      </c>
      <c r="O22" s="130">
        <f t="shared" si="19"/>
        <v>0</v>
      </c>
      <c r="P22" s="232">
        <f t="shared" si="20"/>
        <v>0</v>
      </c>
      <c r="Q22" s="132">
        <f t="shared" si="46"/>
        <v>0</v>
      </c>
      <c r="R22" s="131">
        <f t="shared" si="4"/>
        <v>0</v>
      </c>
      <c r="S22" s="131">
        <f t="shared" si="21"/>
        <v>0</v>
      </c>
      <c r="T22" s="232">
        <f>80000/C22/12</f>
        <v>4.536690484291709</v>
      </c>
      <c r="U22" s="132">
        <f t="shared" si="5"/>
        <v>4.54</v>
      </c>
      <c r="V22" s="121">
        <f t="shared" si="6"/>
        <v>80058.36</v>
      </c>
      <c r="W22" s="132">
        <f t="shared" si="22"/>
        <v>80058</v>
      </c>
      <c r="X22" s="232">
        <f>12000/C22/12</f>
        <v>0.6805035726437564</v>
      </c>
      <c r="Y22" s="132">
        <f t="shared" si="7"/>
        <v>0.68</v>
      </c>
      <c r="Z22" s="132">
        <f t="shared" si="8"/>
        <v>11991.12</v>
      </c>
      <c r="AA22" s="132">
        <f t="shared" si="23"/>
        <v>11991</v>
      </c>
      <c r="AB22" s="234">
        <f t="shared" si="9"/>
        <v>0</v>
      </c>
      <c r="AC22" s="132">
        <f t="shared" si="24"/>
        <v>0</v>
      </c>
      <c r="AD22" s="130">
        <f t="shared" si="10"/>
        <v>0</v>
      </c>
      <c r="AE22" s="178">
        <f t="shared" si="25"/>
        <v>0</v>
      </c>
      <c r="AF22" s="34">
        <f>3000/C22/12</f>
        <v>0.1701258931609391</v>
      </c>
      <c r="AG22" s="167">
        <f t="shared" si="26"/>
        <v>0.17</v>
      </c>
      <c r="AH22" s="218">
        <f t="shared" si="27"/>
        <v>2997.78</v>
      </c>
      <c r="AI22" s="218">
        <f t="shared" si="28"/>
        <v>2998</v>
      </c>
      <c r="AJ22" s="218">
        <f t="shared" si="29"/>
        <v>0.8506294658046955</v>
      </c>
      <c r="AK22" s="167">
        <f t="shared" si="30"/>
        <v>0.85</v>
      </c>
      <c r="AL22" s="218">
        <f t="shared" si="31"/>
        <v>14988.900000000001</v>
      </c>
      <c r="AM22" s="218">
        <f t="shared" si="32"/>
        <v>14989</v>
      </c>
      <c r="AN22" s="218">
        <f t="shared" si="33"/>
        <v>0</v>
      </c>
      <c r="AO22" s="167">
        <f t="shared" si="34"/>
        <v>0</v>
      </c>
      <c r="AP22" s="218">
        <f t="shared" si="47"/>
        <v>0</v>
      </c>
      <c r="AQ22" s="218">
        <f t="shared" si="35"/>
        <v>0</v>
      </c>
      <c r="AR22" s="218">
        <f t="shared" si="11"/>
        <v>0.5670863105364636</v>
      </c>
      <c r="AS22" s="167">
        <f t="shared" si="36"/>
        <v>0.57</v>
      </c>
      <c r="AT22" s="218">
        <f t="shared" si="12"/>
        <v>10051.38</v>
      </c>
      <c r="AU22" s="218">
        <f t="shared" si="13"/>
        <v>10051</v>
      </c>
      <c r="AV22" s="218">
        <f t="shared" si="37"/>
        <v>0</v>
      </c>
      <c r="AW22" s="218">
        <f t="shared" si="38"/>
        <v>0</v>
      </c>
      <c r="AX22" s="218">
        <f t="shared" si="39"/>
        <v>0</v>
      </c>
      <c r="AY22" s="218">
        <f t="shared" si="40"/>
        <v>0</v>
      </c>
      <c r="AZ22" s="196">
        <f t="shared" si="41"/>
        <v>6.81</v>
      </c>
      <c r="BA22" s="212">
        <f t="shared" si="42"/>
        <v>120087.54000000001</v>
      </c>
      <c r="BB22" s="281">
        <f t="shared" si="43"/>
        <v>120088</v>
      </c>
      <c r="BE22" s="245"/>
    </row>
    <row r="23" spans="1:57" ht="21" customHeight="1">
      <c r="A23" s="205">
        <v>9</v>
      </c>
      <c r="B23" s="279" t="s">
        <v>26</v>
      </c>
      <c r="C23" s="206">
        <v>1469.5</v>
      </c>
      <c r="D23" s="232">
        <f>12000/C23/12</f>
        <v>0.6805035726437564</v>
      </c>
      <c r="E23" s="132">
        <f t="shared" si="14"/>
        <v>0.68</v>
      </c>
      <c r="F23" s="132">
        <f t="shared" si="15"/>
        <v>11991.12</v>
      </c>
      <c r="G23" s="130">
        <f t="shared" si="0"/>
        <v>11991</v>
      </c>
      <c r="H23" s="232">
        <f>10000/C23/12</f>
        <v>0.5670863105364636</v>
      </c>
      <c r="I23" s="132">
        <f t="shared" si="1"/>
        <v>0.57</v>
      </c>
      <c r="J23" s="130">
        <f t="shared" si="17"/>
        <v>10051.38</v>
      </c>
      <c r="K23" s="130">
        <f t="shared" si="18"/>
        <v>10051</v>
      </c>
      <c r="L23" s="232">
        <f t="shared" si="2"/>
        <v>0</v>
      </c>
      <c r="M23" s="167">
        <f t="shared" si="44"/>
        <v>0</v>
      </c>
      <c r="N23" s="130">
        <f t="shared" si="3"/>
        <v>0</v>
      </c>
      <c r="O23" s="136">
        <f t="shared" si="19"/>
        <v>0</v>
      </c>
      <c r="P23" s="232">
        <f t="shared" si="20"/>
        <v>0</v>
      </c>
      <c r="Q23" s="132">
        <f t="shared" si="46"/>
        <v>0</v>
      </c>
      <c r="R23" s="131">
        <f t="shared" si="4"/>
        <v>0</v>
      </c>
      <c r="S23" s="131">
        <f t="shared" si="21"/>
        <v>0</v>
      </c>
      <c r="T23" s="232">
        <f t="shared" si="45"/>
        <v>0</v>
      </c>
      <c r="U23" s="132">
        <f t="shared" si="5"/>
        <v>0</v>
      </c>
      <c r="V23" s="121">
        <f t="shared" si="6"/>
        <v>0</v>
      </c>
      <c r="W23" s="132">
        <f t="shared" si="22"/>
        <v>0</v>
      </c>
      <c r="X23" s="232">
        <f>13500/C23/12</f>
        <v>0.7655665192242259</v>
      </c>
      <c r="Y23" s="132">
        <f t="shared" si="7"/>
        <v>0.77</v>
      </c>
      <c r="Z23" s="132">
        <f t="shared" si="8"/>
        <v>13578.18</v>
      </c>
      <c r="AA23" s="132">
        <f t="shared" si="23"/>
        <v>13578</v>
      </c>
      <c r="AB23" s="234">
        <f>6000/C23/12</f>
        <v>0.3402517863218782</v>
      </c>
      <c r="AC23" s="132">
        <f t="shared" si="24"/>
        <v>0.34</v>
      </c>
      <c r="AD23" s="130">
        <f t="shared" si="10"/>
        <v>5995.56</v>
      </c>
      <c r="AE23" s="178">
        <f t="shared" si="25"/>
        <v>5996</v>
      </c>
      <c r="AF23" s="34">
        <f>3100/C23/12</f>
        <v>0.17579675626630373</v>
      </c>
      <c r="AG23" s="167">
        <f t="shared" si="26"/>
        <v>0.18</v>
      </c>
      <c r="AH23" s="218">
        <f t="shared" si="27"/>
        <v>3174.12</v>
      </c>
      <c r="AI23" s="218">
        <f t="shared" si="28"/>
        <v>3174</v>
      </c>
      <c r="AJ23" s="218">
        <f t="shared" si="29"/>
        <v>0.8506294658046955</v>
      </c>
      <c r="AK23" s="167">
        <f t="shared" si="30"/>
        <v>0.85</v>
      </c>
      <c r="AL23" s="218">
        <f t="shared" si="31"/>
        <v>14988.900000000001</v>
      </c>
      <c r="AM23" s="218">
        <f t="shared" si="32"/>
        <v>14989</v>
      </c>
      <c r="AN23" s="218">
        <f t="shared" si="33"/>
        <v>0</v>
      </c>
      <c r="AO23" s="167">
        <f t="shared" si="34"/>
        <v>0</v>
      </c>
      <c r="AP23" s="218">
        <f t="shared" si="47"/>
        <v>0</v>
      </c>
      <c r="AQ23" s="218">
        <f t="shared" si="35"/>
        <v>0</v>
      </c>
      <c r="AR23" s="218">
        <f t="shared" si="11"/>
        <v>0.5670863105364636</v>
      </c>
      <c r="AS23" s="167">
        <f t="shared" si="36"/>
        <v>0.57</v>
      </c>
      <c r="AT23" s="218">
        <f t="shared" si="12"/>
        <v>10051.38</v>
      </c>
      <c r="AU23" s="218">
        <f t="shared" si="13"/>
        <v>10051</v>
      </c>
      <c r="AV23" s="218">
        <f t="shared" si="37"/>
        <v>0</v>
      </c>
      <c r="AW23" s="218">
        <f t="shared" si="38"/>
        <v>0</v>
      </c>
      <c r="AX23" s="218">
        <f t="shared" si="39"/>
        <v>0</v>
      </c>
      <c r="AY23" s="218">
        <f t="shared" si="40"/>
        <v>0</v>
      </c>
      <c r="AZ23" s="196">
        <f t="shared" si="41"/>
        <v>3.96</v>
      </c>
      <c r="BA23" s="212">
        <f t="shared" si="42"/>
        <v>69830.64</v>
      </c>
      <c r="BB23" s="281">
        <f t="shared" si="43"/>
        <v>69831</v>
      </c>
      <c r="BE23" s="245"/>
    </row>
    <row r="24" spans="1:57" ht="21" customHeight="1">
      <c r="A24" s="205">
        <v>10</v>
      </c>
      <c r="B24" s="279" t="s">
        <v>27</v>
      </c>
      <c r="C24" s="206">
        <v>3669.66</v>
      </c>
      <c r="D24" s="232">
        <f>31000/C24/12</f>
        <v>0.7039707584172193</v>
      </c>
      <c r="E24" s="132">
        <f t="shared" si="14"/>
        <v>0.7</v>
      </c>
      <c r="F24" s="132">
        <f t="shared" si="15"/>
        <v>30825.143999999997</v>
      </c>
      <c r="G24" s="130">
        <f t="shared" si="0"/>
        <v>30825</v>
      </c>
      <c r="H24" s="232">
        <f>21000/C24/12</f>
        <v>0.47688341699230996</v>
      </c>
      <c r="I24" s="132">
        <f t="shared" si="1"/>
        <v>0.48</v>
      </c>
      <c r="J24" s="130">
        <f t="shared" si="17"/>
        <v>21137.2416</v>
      </c>
      <c r="K24" s="130">
        <f t="shared" si="18"/>
        <v>21137</v>
      </c>
      <c r="L24" s="232">
        <f t="shared" si="2"/>
        <v>0</v>
      </c>
      <c r="M24" s="167">
        <f t="shared" si="44"/>
        <v>0</v>
      </c>
      <c r="N24" s="130">
        <f t="shared" si="3"/>
        <v>0</v>
      </c>
      <c r="O24" s="130">
        <f t="shared" si="19"/>
        <v>0</v>
      </c>
      <c r="P24" s="232">
        <f>32000/C24/12</f>
        <v>0.7266794925597103</v>
      </c>
      <c r="Q24" s="132">
        <f t="shared" si="46"/>
        <v>0.73</v>
      </c>
      <c r="R24" s="131">
        <f t="shared" si="4"/>
        <v>32146.221599999997</v>
      </c>
      <c r="S24" s="131">
        <f t="shared" si="21"/>
        <v>32146</v>
      </c>
      <c r="T24" s="232">
        <f t="shared" si="45"/>
        <v>0</v>
      </c>
      <c r="U24" s="132">
        <f t="shared" si="5"/>
        <v>0</v>
      </c>
      <c r="V24" s="121">
        <f t="shared" si="6"/>
        <v>0</v>
      </c>
      <c r="W24" s="132">
        <f t="shared" si="22"/>
        <v>0</v>
      </c>
      <c r="X24" s="232">
        <f>36000/C24/12</f>
        <v>0.8175144291296742</v>
      </c>
      <c r="Y24" s="132">
        <f t="shared" si="7"/>
        <v>0.82</v>
      </c>
      <c r="Z24" s="132">
        <f t="shared" si="8"/>
        <v>36109.454399999995</v>
      </c>
      <c r="AA24" s="132">
        <f t="shared" si="23"/>
        <v>36109</v>
      </c>
      <c r="AB24" s="234">
        <f>6000/C24/12</f>
        <v>0.1362524048549457</v>
      </c>
      <c r="AC24" s="132">
        <f t="shared" si="24"/>
        <v>0.14</v>
      </c>
      <c r="AD24" s="130">
        <f t="shared" si="10"/>
        <v>6165.028800000001</v>
      </c>
      <c r="AE24" s="178">
        <f t="shared" si="25"/>
        <v>6165</v>
      </c>
      <c r="AF24" s="34">
        <f>5550/C24/12</f>
        <v>0.12603347449082478</v>
      </c>
      <c r="AG24" s="167">
        <f t="shared" si="26"/>
        <v>0.13</v>
      </c>
      <c r="AH24" s="218">
        <f t="shared" si="27"/>
        <v>5724.669599999999</v>
      </c>
      <c r="AI24" s="218">
        <f t="shared" si="28"/>
        <v>5725</v>
      </c>
      <c r="AJ24" s="218">
        <f t="shared" si="29"/>
        <v>0.3406310121373642</v>
      </c>
      <c r="AK24" s="167">
        <f t="shared" si="30"/>
        <v>0.34</v>
      </c>
      <c r="AL24" s="218">
        <f t="shared" si="31"/>
        <v>14972.212800000001</v>
      </c>
      <c r="AM24" s="218">
        <f t="shared" si="32"/>
        <v>14972</v>
      </c>
      <c r="AN24" s="218">
        <f t="shared" si="33"/>
        <v>0</v>
      </c>
      <c r="AO24" s="167">
        <f t="shared" si="34"/>
        <v>0</v>
      </c>
      <c r="AP24" s="218">
        <f t="shared" si="47"/>
        <v>0</v>
      </c>
      <c r="AQ24" s="218">
        <f t="shared" si="35"/>
        <v>0</v>
      </c>
      <c r="AR24" s="218">
        <f>10000/C24/12</f>
        <v>0.2270873414249095</v>
      </c>
      <c r="AS24" s="167">
        <f aca="true" t="shared" si="48" ref="AS24:AS39">ROUND(AR24,2)</f>
        <v>0.23</v>
      </c>
      <c r="AT24" s="218">
        <f>AS24*C24*12</f>
        <v>10128.2616</v>
      </c>
      <c r="AU24" s="218">
        <f aca="true" t="shared" si="49" ref="AU24:AU39">ROUND(AT24,0)</f>
        <v>10128</v>
      </c>
      <c r="AV24" s="218">
        <f t="shared" si="37"/>
        <v>0</v>
      </c>
      <c r="AW24" s="218">
        <f t="shared" si="38"/>
        <v>0</v>
      </c>
      <c r="AX24" s="218">
        <f t="shared" si="39"/>
        <v>0</v>
      </c>
      <c r="AY24" s="218">
        <f t="shared" si="40"/>
        <v>0</v>
      </c>
      <c r="AZ24" s="196">
        <f t="shared" si="41"/>
        <v>3.57</v>
      </c>
      <c r="BA24" s="212">
        <f t="shared" si="42"/>
        <v>157208.2344</v>
      </c>
      <c r="BB24" s="281">
        <f t="shared" si="43"/>
        <v>157208</v>
      </c>
      <c r="BE24" s="245"/>
    </row>
    <row r="25" spans="1:57" ht="21" customHeight="1">
      <c r="A25" s="205">
        <v>11</v>
      </c>
      <c r="B25" s="279" t="s">
        <v>28</v>
      </c>
      <c r="C25" s="206">
        <v>3648.6</v>
      </c>
      <c r="D25" s="232">
        <f>12200/C25/12</f>
        <v>0.27864569058451644</v>
      </c>
      <c r="E25" s="132">
        <f t="shared" si="14"/>
        <v>0.28</v>
      </c>
      <c r="F25" s="132">
        <f t="shared" si="15"/>
        <v>12259.296</v>
      </c>
      <c r="G25" s="130">
        <f t="shared" si="0"/>
        <v>12259</v>
      </c>
      <c r="H25" s="232">
        <f t="shared" si="16"/>
        <v>0</v>
      </c>
      <c r="I25" s="132">
        <f t="shared" si="1"/>
        <v>0</v>
      </c>
      <c r="J25" s="130">
        <f t="shared" si="17"/>
        <v>0</v>
      </c>
      <c r="K25" s="130">
        <f t="shared" si="18"/>
        <v>0</v>
      </c>
      <c r="L25" s="232">
        <f t="shared" si="2"/>
        <v>0</v>
      </c>
      <c r="M25" s="167">
        <f t="shared" si="44"/>
        <v>0</v>
      </c>
      <c r="N25" s="130">
        <f t="shared" si="3"/>
        <v>0</v>
      </c>
      <c r="O25" s="130">
        <f t="shared" si="19"/>
        <v>0</v>
      </c>
      <c r="P25" s="232">
        <f t="shared" si="20"/>
        <v>0</v>
      </c>
      <c r="Q25" s="132">
        <f t="shared" si="46"/>
        <v>0</v>
      </c>
      <c r="R25" s="131">
        <f t="shared" si="4"/>
        <v>0</v>
      </c>
      <c r="S25" s="131">
        <f t="shared" si="21"/>
        <v>0</v>
      </c>
      <c r="T25" s="232">
        <f>162000/C25/12</f>
        <v>3.7000493339911196</v>
      </c>
      <c r="U25" s="132">
        <f t="shared" si="5"/>
        <v>3.7</v>
      </c>
      <c r="V25" s="121">
        <f t="shared" si="6"/>
        <v>161997.84</v>
      </c>
      <c r="W25" s="132">
        <f t="shared" si="22"/>
        <v>161998</v>
      </c>
      <c r="X25" s="232">
        <f>0/C25/12</f>
        <v>0</v>
      </c>
      <c r="Y25" s="132">
        <f t="shared" si="7"/>
        <v>0</v>
      </c>
      <c r="Z25" s="132">
        <f t="shared" si="8"/>
        <v>0</v>
      </c>
      <c r="AA25" s="132">
        <f t="shared" si="23"/>
        <v>0</v>
      </c>
      <c r="AB25" s="234">
        <f t="shared" si="9"/>
        <v>0</v>
      </c>
      <c r="AC25" s="132">
        <f t="shared" si="24"/>
        <v>0</v>
      </c>
      <c r="AD25" s="130">
        <f t="shared" si="10"/>
        <v>0</v>
      </c>
      <c r="AE25" s="178">
        <f t="shared" si="25"/>
        <v>0</v>
      </c>
      <c r="AF25" s="34">
        <f>5200/C25/12</f>
        <v>0.11876701565897423</v>
      </c>
      <c r="AG25" s="167">
        <f t="shared" si="26"/>
        <v>0.12</v>
      </c>
      <c r="AH25" s="218">
        <f t="shared" si="27"/>
        <v>5253.984</v>
      </c>
      <c r="AI25" s="218">
        <f t="shared" si="28"/>
        <v>5254</v>
      </c>
      <c r="AJ25" s="218">
        <f t="shared" si="29"/>
        <v>0.3425971605547333</v>
      </c>
      <c r="AK25" s="167">
        <f t="shared" si="30"/>
        <v>0.34</v>
      </c>
      <c r="AL25" s="218">
        <f t="shared" si="31"/>
        <v>14886.288</v>
      </c>
      <c r="AM25" s="218">
        <f t="shared" si="32"/>
        <v>14886</v>
      </c>
      <c r="AN25" s="218">
        <f t="shared" si="33"/>
        <v>0</v>
      </c>
      <c r="AO25" s="167">
        <f t="shared" si="34"/>
        <v>0</v>
      </c>
      <c r="AP25" s="218">
        <f t="shared" si="47"/>
        <v>0</v>
      </c>
      <c r="AQ25" s="218">
        <f t="shared" si="35"/>
        <v>0</v>
      </c>
      <c r="AR25" s="218">
        <f aca="true" t="shared" si="50" ref="AR25:AR32">10000/C25/12</f>
        <v>0.22839810703648888</v>
      </c>
      <c r="AS25" s="167">
        <f t="shared" si="48"/>
        <v>0.23</v>
      </c>
      <c r="AT25" s="218">
        <f aca="true" t="shared" si="51" ref="AT25:AT39">AS25*C25*12</f>
        <v>10070.136</v>
      </c>
      <c r="AU25" s="218">
        <f t="shared" si="49"/>
        <v>10070</v>
      </c>
      <c r="AV25" s="218">
        <f t="shared" si="37"/>
        <v>0</v>
      </c>
      <c r="AW25" s="218">
        <f t="shared" si="38"/>
        <v>0</v>
      </c>
      <c r="AX25" s="218">
        <f t="shared" si="39"/>
        <v>0</v>
      </c>
      <c r="AY25" s="218">
        <f t="shared" si="40"/>
        <v>0</v>
      </c>
      <c r="AZ25" s="196">
        <f t="shared" si="41"/>
        <v>4.670000000000001</v>
      </c>
      <c r="BA25" s="212">
        <f t="shared" si="42"/>
        <v>204467.544</v>
      </c>
      <c r="BB25" s="281">
        <f t="shared" si="43"/>
        <v>204468</v>
      </c>
      <c r="BE25" s="245"/>
    </row>
    <row r="26" spans="1:57" ht="21" customHeight="1">
      <c r="A26" s="205">
        <v>12</v>
      </c>
      <c r="B26" s="279" t="s">
        <v>29</v>
      </c>
      <c r="C26" s="206">
        <v>1467</v>
      </c>
      <c r="D26" s="232">
        <f>0/C26/12</f>
        <v>0</v>
      </c>
      <c r="E26" s="132">
        <f t="shared" si="14"/>
        <v>0</v>
      </c>
      <c r="F26" s="132">
        <f t="shared" si="15"/>
        <v>0</v>
      </c>
      <c r="G26" s="130">
        <f t="shared" si="0"/>
        <v>0</v>
      </c>
      <c r="H26" s="232">
        <f t="shared" si="16"/>
        <v>0</v>
      </c>
      <c r="I26" s="132">
        <f t="shared" si="1"/>
        <v>0</v>
      </c>
      <c r="J26" s="130">
        <f t="shared" si="17"/>
        <v>0</v>
      </c>
      <c r="K26" s="130">
        <f t="shared" si="18"/>
        <v>0</v>
      </c>
      <c r="L26" s="232">
        <f t="shared" si="2"/>
        <v>0</v>
      </c>
      <c r="M26" s="167">
        <f t="shared" si="44"/>
        <v>0</v>
      </c>
      <c r="N26" s="130">
        <f t="shared" si="3"/>
        <v>0</v>
      </c>
      <c r="O26" s="130">
        <f t="shared" si="19"/>
        <v>0</v>
      </c>
      <c r="P26" s="232">
        <f>15000/C26/12</f>
        <v>0.8520790729379687</v>
      </c>
      <c r="Q26" s="132">
        <f t="shared" si="46"/>
        <v>0.85</v>
      </c>
      <c r="R26" s="131">
        <f t="shared" si="4"/>
        <v>14963.400000000001</v>
      </c>
      <c r="S26" s="131">
        <f t="shared" si="21"/>
        <v>14963</v>
      </c>
      <c r="T26" s="232">
        <f>82500/C26/12</f>
        <v>4.686434901158828</v>
      </c>
      <c r="U26" s="132">
        <f t="shared" si="5"/>
        <v>4.69</v>
      </c>
      <c r="V26" s="121">
        <f t="shared" si="6"/>
        <v>82562.76000000001</v>
      </c>
      <c r="W26" s="132">
        <f t="shared" si="22"/>
        <v>82563</v>
      </c>
      <c r="X26" s="232">
        <f>12000/C26/12</f>
        <v>0.6816632583503749</v>
      </c>
      <c r="Y26" s="132">
        <f t="shared" si="7"/>
        <v>0.68</v>
      </c>
      <c r="Z26" s="132">
        <f t="shared" si="8"/>
        <v>11970.720000000001</v>
      </c>
      <c r="AA26" s="132">
        <f t="shared" si="23"/>
        <v>11971</v>
      </c>
      <c r="AB26" s="234">
        <f aca="true" t="shared" si="52" ref="AB26:AB36">0/C26/12</f>
        <v>0</v>
      </c>
      <c r="AC26" s="132">
        <f t="shared" si="24"/>
        <v>0</v>
      </c>
      <c r="AD26" s="130">
        <f t="shared" si="10"/>
        <v>0</v>
      </c>
      <c r="AE26" s="178">
        <f t="shared" si="25"/>
        <v>0</v>
      </c>
      <c r="AF26" s="34">
        <f>3200/C26/12</f>
        <v>0.18177686889343334</v>
      </c>
      <c r="AG26" s="167">
        <f t="shared" si="26"/>
        <v>0.18</v>
      </c>
      <c r="AH26" s="218">
        <f t="shared" si="27"/>
        <v>3168.7200000000003</v>
      </c>
      <c r="AI26" s="218">
        <f t="shared" si="28"/>
        <v>3169</v>
      </c>
      <c r="AJ26" s="218">
        <f t="shared" si="29"/>
        <v>0.8520790729379687</v>
      </c>
      <c r="AK26" s="167">
        <f t="shared" si="30"/>
        <v>0.85</v>
      </c>
      <c r="AL26" s="218">
        <f t="shared" si="31"/>
        <v>14963.400000000001</v>
      </c>
      <c r="AM26" s="218">
        <f t="shared" si="32"/>
        <v>14963</v>
      </c>
      <c r="AN26" s="218">
        <f t="shared" si="33"/>
        <v>0</v>
      </c>
      <c r="AO26" s="167">
        <f t="shared" si="34"/>
        <v>0</v>
      </c>
      <c r="AP26" s="218">
        <f t="shared" si="47"/>
        <v>0</v>
      </c>
      <c r="AQ26" s="218">
        <f t="shared" si="35"/>
        <v>0</v>
      </c>
      <c r="AR26" s="218">
        <f t="shared" si="50"/>
        <v>0.5680527152919791</v>
      </c>
      <c r="AS26" s="167">
        <f t="shared" si="48"/>
        <v>0.57</v>
      </c>
      <c r="AT26" s="218">
        <f t="shared" si="51"/>
        <v>10034.279999999999</v>
      </c>
      <c r="AU26" s="218">
        <f t="shared" si="49"/>
        <v>10034</v>
      </c>
      <c r="AV26" s="218">
        <f t="shared" si="37"/>
        <v>0</v>
      </c>
      <c r="AW26" s="218">
        <f t="shared" si="38"/>
        <v>0</v>
      </c>
      <c r="AX26" s="218">
        <f t="shared" si="39"/>
        <v>0</v>
      </c>
      <c r="AY26" s="218">
        <f t="shared" si="40"/>
        <v>0</v>
      </c>
      <c r="AZ26" s="196">
        <f t="shared" si="41"/>
        <v>7.819999999999999</v>
      </c>
      <c r="BA26" s="212">
        <f t="shared" si="42"/>
        <v>137663.28</v>
      </c>
      <c r="BB26" s="281">
        <f t="shared" si="43"/>
        <v>137663</v>
      </c>
      <c r="BE26" s="245"/>
    </row>
    <row r="27" spans="1:57" ht="21" customHeight="1">
      <c r="A27" s="205">
        <v>13</v>
      </c>
      <c r="B27" s="279" t="s">
        <v>30</v>
      </c>
      <c r="C27" s="206">
        <v>1412.38</v>
      </c>
      <c r="D27" s="232">
        <f>10000/C27/12</f>
        <v>0.5900206271211241</v>
      </c>
      <c r="E27" s="132">
        <f t="shared" si="14"/>
        <v>0.59</v>
      </c>
      <c r="F27" s="132">
        <f t="shared" si="15"/>
        <v>9999.6504</v>
      </c>
      <c r="G27" s="198">
        <f t="shared" si="0"/>
        <v>10000</v>
      </c>
      <c r="H27" s="232">
        <f t="shared" si="16"/>
        <v>0</v>
      </c>
      <c r="I27" s="132">
        <f t="shared" si="1"/>
        <v>0</v>
      </c>
      <c r="J27" s="130">
        <f t="shared" si="17"/>
        <v>0</v>
      </c>
      <c r="K27" s="130">
        <f t="shared" si="18"/>
        <v>0</v>
      </c>
      <c r="L27" s="232">
        <f>22000/C27/12</f>
        <v>1.298045379666473</v>
      </c>
      <c r="M27" s="167">
        <f t="shared" si="44"/>
        <v>1.3</v>
      </c>
      <c r="N27" s="130">
        <f t="shared" si="3"/>
        <v>22033.128000000004</v>
      </c>
      <c r="O27" s="130">
        <f t="shared" si="19"/>
        <v>22033</v>
      </c>
      <c r="P27" s="232">
        <f>20000/C27/12</f>
        <v>1.1800412542422483</v>
      </c>
      <c r="Q27" s="132">
        <f t="shared" si="46"/>
        <v>1.18</v>
      </c>
      <c r="R27" s="131">
        <f t="shared" si="4"/>
        <v>19999.3008</v>
      </c>
      <c r="S27" s="199">
        <f t="shared" si="21"/>
        <v>19999</v>
      </c>
      <c r="T27" s="232">
        <f t="shared" si="45"/>
        <v>0</v>
      </c>
      <c r="U27" s="132">
        <f t="shared" si="5"/>
        <v>0</v>
      </c>
      <c r="V27" s="121">
        <f t="shared" si="6"/>
        <v>0</v>
      </c>
      <c r="W27" s="132">
        <f t="shared" si="22"/>
        <v>0</v>
      </c>
      <c r="X27" s="232">
        <f>0/C27/12</f>
        <v>0</v>
      </c>
      <c r="Y27" s="132">
        <f t="shared" si="7"/>
        <v>0</v>
      </c>
      <c r="Z27" s="132">
        <f t="shared" si="8"/>
        <v>0</v>
      </c>
      <c r="AA27" s="132">
        <f t="shared" si="23"/>
        <v>0</v>
      </c>
      <c r="AB27" s="234">
        <f t="shared" si="52"/>
        <v>0</v>
      </c>
      <c r="AC27" s="132">
        <f t="shared" si="24"/>
        <v>0</v>
      </c>
      <c r="AD27" s="130">
        <f t="shared" si="10"/>
        <v>0</v>
      </c>
      <c r="AE27" s="201">
        <f t="shared" si="25"/>
        <v>0</v>
      </c>
      <c r="AF27" s="34">
        <f>3500/C27/12</f>
        <v>0.20650721949239345</v>
      </c>
      <c r="AG27" s="167">
        <f t="shared" si="26"/>
        <v>0.21</v>
      </c>
      <c r="AH27" s="218">
        <f t="shared" si="27"/>
        <v>3559.1976000000004</v>
      </c>
      <c r="AI27" s="219">
        <f t="shared" si="28"/>
        <v>3559</v>
      </c>
      <c r="AJ27" s="218">
        <f t="shared" si="29"/>
        <v>0.8850309406816862</v>
      </c>
      <c r="AK27" s="167">
        <f t="shared" si="30"/>
        <v>0.89</v>
      </c>
      <c r="AL27" s="218">
        <f t="shared" si="31"/>
        <v>15084.218400000002</v>
      </c>
      <c r="AM27" s="219">
        <f t="shared" si="32"/>
        <v>15084</v>
      </c>
      <c r="AN27" s="218">
        <f t="shared" si="33"/>
        <v>0</v>
      </c>
      <c r="AO27" s="167">
        <f t="shared" si="34"/>
        <v>0</v>
      </c>
      <c r="AP27" s="218">
        <f t="shared" si="47"/>
        <v>0</v>
      </c>
      <c r="AQ27" s="218">
        <f t="shared" si="35"/>
        <v>0</v>
      </c>
      <c r="AR27" s="218">
        <f t="shared" si="50"/>
        <v>0.5900206271211241</v>
      </c>
      <c r="AS27" s="167">
        <f t="shared" si="48"/>
        <v>0.59</v>
      </c>
      <c r="AT27" s="218">
        <f t="shared" si="51"/>
        <v>9999.6504</v>
      </c>
      <c r="AU27" s="218">
        <f t="shared" si="49"/>
        <v>10000</v>
      </c>
      <c r="AV27" s="218">
        <f t="shared" si="37"/>
        <v>0</v>
      </c>
      <c r="AW27" s="218">
        <f t="shared" si="38"/>
        <v>0</v>
      </c>
      <c r="AX27" s="218">
        <f t="shared" si="39"/>
        <v>0</v>
      </c>
      <c r="AY27" s="218">
        <f t="shared" si="40"/>
        <v>0</v>
      </c>
      <c r="AZ27" s="196">
        <f t="shared" si="41"/>
        <v>4.76</v>
      </c>
      <c r="BA27" s="212">
        <f t="shared" si="42"/>
        <v>80675.1456</v>
      </c>
      <c r="BB27" s="281">
        <f t="shared" si="43"/>
        <v>80675</v>
      </c>
      <c r="BE27" s="245"/>
    </row>
    <row r="28" spans="1:57" ht="21" customHeight="1">
      <c r="A28" s="205">
        <v>14</v>
      </c>
      <c r="B28" s="279" t="s">
        <v>31</v>
      </c>
      <c r="C28" s="206">
        <v>3319.53</v>
      </c>
      <c r="D28" s="232">
        <f>26000/C28/12</f>
        <v>0.652702842470671</v>
      </c>
      <c r="E28" s="132">
        <f t="shared" si="14"/>
        <v>0.65</v>
      </c>
      <c r="F28" s="132">
        <f t="shared" si="15"/>
        <v>25892.334000000003</v>
      </c>
      <c r="G28" s="130">
        <f t="shared" si="0"/>
        <v>25892</v>
      </c>
      <c r="H28" s="232">
        <f>14000/C28/12</f>
        <v>0.3514553767149767</v>
      </c>
      <c r="I28" s="132">
        <f t="shared" si="1"/>
        <v>0.35</v>
      </c>
      <c r="J28" s="130">
        <f t="shared" si="17"/>
        <v>13942.025999999998</v>
      </c>
      <c r="K28" s="130">
        <f t="shared" si="18"/>
        <v>13942</v>
      </c>
      <c r="L28" s="232">
        <f t="shared" si="2"/>
        <v>0</v>
      </c>
      <c r="M28" s="167">
        <f t="shared" si="44"/>
        <v>0</v>
      </c>
      <c r="N28" s="130">
        <f t="shared" si="3"/>
        <v>0</v>
      </c>
      <c r="O28" s="130">
        <f t="shared" si="19"/>
        <v>0</v>
      </c>
      <c r="P28" s="232">
        <f t="shared" si="20"/>
        <v>0</v>
      </c>
      <c r="Q28" s="132">
        <f t="shared" si="46"/>
        <v>0</v>
      </c>
      <c r="R28" s="131">
        <f t="shared" si="4"/>
        <v>0</v>
      </c>
      <c r="S28" s="131">
        <f t="shared" si="21"/>
        <v>0</v>
      </c>
      <c r="T28" s="232">
        <f>81000/C28/12</f>
        <v>2.0334203938509368</v>
      </c>
      <c r="U28" s="132">
        <f t="shared" si="5"/>
        <v>2.03</v>
      </c>
      <c r="V28" s="121">
        <f t="shared" si="6"/>
        <v>80863.7508</v>
      </c>
      <c r="W28" s="132">
        <f t="shared" si="22"/>
        <v>80864</v>
      </c>
      <c r="X28" s="232">
        <f>25000/C28/12</f>
        <v>0.6275988869910298</v>
      </c>
      <c r="Y28" s="132">
        <f t="shared" si="7"/>
        <v>0.63</v>
      </c>
      <c r="Z28" s="132">
        <f t="shared" si="8"/>
        <v>25095.646800000002</v>
      </c>
      <c r="AA28" s="132">
        <f t="shared" si="23"/>
        <v>25096</v>
      </c>
      <c r="AB28" s="234">
        <f t="shared" si="52"/>
        <v>0</v>
      </c>
      <c r="AC28" s="132">
        <f t="shared" si="24"/>
        <v>0</v>
      </c>
      <c r="AD28" s="130">
        <f t="shared" si="10"/>
        <v>0</v>
      </c>
      <c r="AE28" s="178">
        <f t="shared" si="25"/>
        <v>0</v>
      </c>
      <c r="AF28" s="34">
        <f>4300/C28/12</f>
        <v>0.10794700856245713</v>
      </c>
      <c r="AG28" s="167">
        <f t="shared" si="26"/>
        <v>0.11</v>
      </c>
      <c r="AH28" s="218">
        <f t="shared" si="27"/>
        <v>4381.7796</v>
      </c>
      <c r="AI28" s="218">
        <f t="shared" si="28"/>
        <v>4382</v>
      </c>
      <c r="AJ28" s="218">
        <f t="shared" si="29"/>
        <v>0.3765593321946179</v>
      </c>
      <c r="AK28" s="167">
        <f t="shared" si="30"/>
        <v>0.38</v>
      </c>
      <c r="AL28" s="218">
        <f t="shared" si="31"/>
        <v>15137.056800000002</v>
      </c>
      <c r="AM28" s="218">
        <f t="shared" si="32"/>
        <v>15137</v>
      </c>
      <c r="AN28" s="218">
        <f t="shared" si="33"/>
        <v>0</v>
      </c>
      <c r="AO28" s="167">
        <f t="shared" si="34"/>
        <v>0</v>
      </c>
      <c r="AP28" s="218">
        <f t="shared" si="47"/>
        <v>0</v>
      </c>
      <c r="AQ28" s="218">
        <f t="shared" si="35"/>
        <v>0</v>
      </c>
      <c r="AR28" s="218">
        <f t="shared" si="50"/>
        <v>0.25103955479641193</v>
      </c>
      <c r="AS28" s="167">
        <f t="shared" si="48"/>
        <v>0.25</v>
      </c>
      <c r="AT28" s="218">
        <f t="shared" si="51"/>
        <v>9958.59</v>
      </c>
      <c r="AU28" s="218">
        <f t="shared" si="49"/>
        <v>9959</v>
      </c>
      <c r="AV28" s="218">
        <f t="shared" si="37"/>
        <v>0</v>
      </c>
      <c r="AW28" s="218">
        <f t="shared" si="38"/>
        <v>0</v>
      </c>
      <c r="AX28" s="218">
        <f t="shared" si="39"/>
        <v>0</v>
      </c>
      <c r="AY28" s="218">
        <f t="shared" si="40"/>
        <v>0</v>
      </c>
      <c r="AZ28" s="196">
        <f t="shared" si="41"/>
        <v>4.3999999999999995</v>
      </c>
      <c r="BA28" s="212">
        <f t="shared" si="42"/>
        <v>175271.184</v>
      </c>
      <c r="BB28" s="281">
        <f t="shared" si="43"/>
        <v>175271</v>
      </c>
      <c r="BE28" s="245"/>
    </row>
    <row r="29" spans="1:57" ht="21" customHeight="1">
      <c r="A29" s="205">
        <v>15</v>
      </c>
      <c r="B29" s="279" t="s">
        <v>32</v>
      </c>
      <c r="C29" s="206">
        <v>3538.9</v>
      </c>
      <c r="D29" s="232">
        <f>0/C29/12</f>
        <v>0</v>
      </c>
      <c r="E29" s="132">
        <f t="shared" si="14"/>
        <v>0</v>
      </c>
      <c r="F29" s="132">
        <f t="shared" si="15"/>
        <v>0</v>
      </c>
      <c r="G29" s="130">
        <f t="shared" si="0"/>
        <v>0</v>
      </c>
      <c r="H29" s="232">
        <f t="shared" si="16"/>
        <v>0</v>
      </c>
      <c r="I29" s="132">
        <f t="shared" si="1"/>
        <v>0</v>
      </c>
      <c r="J29" s="130">
        <f t="shared" si="17"/>
        <v>0</v>
      </c>
      <c r="K29" s="130">
        <f t="shared" si="18"/>
        <v>0</v>
      </c>
      <c r="L29" s="232">
        <f t="shared" si="2"/>
        <v>0</v>
      </c>
      <c r="M29" s="167">
        <f t="shared" si="44"/>
        <v>0</v>
      </c>
      <c r="N29" s="130">
        <f t="shared" si="3"/>
        <v>0</v>
      </c>
      <c r="O29" s="130">
        <f t="shared" si="19"/>
        <v>0</v>
      </c>
      <c r="P29" s="232">
        <f t="shared" si="20"/>
        <v>0</v>
      </c>
      <c r="Q29" s="132">
        <f t="shared" si="46"/>
        <v>0</v>
      </c>
      <c r="R29" s="131">
        <f t="shared" si="4"/>
        <v>0</v>
      </c>
      <c r="S29" s="131">
        <f t="shared" si="21"/>
        <v>0</v>
      </c>
      <c r="T29" s="232">
        <f t="shared" si="45"/>
        <v>0</v>
      </c>
      <c r="U29" s="132">
        <f t="shared" si="5"/>
        <v>0</v>
      </c>
      <c r="V29" s="121">
        <f t="shared" si="6"/>
        <v>0</v>
      </c>
      <c r="W29" s="132">
        <f t="shared" si="22"/>
        <v>0</v>
      </c>
      <c r="X29" s="232">
        <f>25000/C29/12</f>
        <v>0.5886951689319656</v>
      </c>
      <c r="Y29" s="132">
        <f t="shared" si="7"/>
        <v>0.59</v>
      </c>
      <c r="Z29" s="132">
        <f t="shared" si="8"/>
        <v>25055.412</v>
      </c>
      <c r="AA29" s="132">
        <f t="shared" si="23"/>
        <v>25055</v>
      </c>
      <c r="AB29" s="234">
        <f t="shared" si="52"/>
        <v>0</v>
      </c>
      <c r="AC29" s="132">
        <f t="shared" si="24"/>
        <v>0</v>
      </c>
      <c r="AD29" s="130">
        <f t="shared" si="10"/>
        <v>0</v>
      </c>
      <c r="AE29" s="178">
        <f t="shared" si="25"/>
        <v>0</v>
      </c>
      <c r="AF29" s="34">
        <f>4480/C29/12</f>
        <v>0.10549417427260825</v>
      </c>
      <c r="AG29" s="167">
        <f t="shared" si="26"/>
        <v>0.11</v>
      </c>
      <c r="AH29" s="218">
        <f t="shared" si="27"/>
        <v>4671.348</v>
      </c>
      <c r="AI29" s="218">
        <f t="shared" si="28"/>
        <v>4671</v>
      </c>
      <c r="AJ29" s="218">
        <f t="shared" si="29"/>
        <v>0.3532171013591794</v>
      </c>
      <c r="AK29" s="167">
        <f t="shared" si="30"/>
        <v>0.35</v>
      </c>
      <c r="AL29" s="218">
        <f t="shared" si="31"/>
        <v>14863.380000000001</v>
      </c>
      <c r="AM29" s="218">
        <f t="shared" si="32"/>
        <v>14863</v>
      </c>
      <c r="AN29" s="218">
        <f t="shared" si="33"/>
        <v>0</v>
      </c>
      <c r="AO29" s="167">
        <f t="shared" si="34"/>
        <v>0</v>
      </c>
      <c r="AP29" s="218">
        <f t="shared" si="47"/>
        <v>0</v>
      </c>
      <c r="AQ29" s="218">
        <f t="shared" si="35"/>
        <v>0</v>
      </c>
      <c r="AR29" s="218">
        <f t="shared" si="50"/>
        <v>0.23547806757278625</v>
      </c>
      <c r="AS29" s="167">
        <f t="shared" si="48"/>
        <v>0.24</v>
      </c>
      <c r="AT29" s="218">
        <f t="shared" si="51"/>
        <v>10192.032</v>
      </c>
      <c r="AU29" s="218">
        <f t="shared" si="49"/>
        <v>10192</v>
      </c>
      <c r="AV29" s="218">
        <f t="shared" si="37"/>
        <v>0</v>
      </c>
      <c r="AW29" s="218">
        <f t="shared" si="38"/>
        <v>0</v>
      </c>
      <c r="AX29" s="218">
        <f t="shared" si="39"/>
        <v>0</v>
      </c>
      <c r="AY29" s="218">
        <f t="shared" si="40"/>
        <v>0</v>
      </c>
      <c r="AZ29" s="196">
        <f t="shared" si="41"/>
        <v>1.2899999999999998</v>
      </c>
      <c r="BA29" s="212">
        <f t="shared" si="42"/>
        <v>54782.172</v>
      </c>
      <c r="BB29" s="281">
        <f t="shared" si="43"/>
        <v>54782</v>
      </c>
      <c r="BE29" s="245"/>
    </row>
    <row r="30" spans="1:57" ht="21" customHeight="1">
      <c r="A30" s="205">
        <v>16</v>
      </c>
      <c r="B30" s="279" t="s">
        <v>33</v>
      </c>
      <c r="C30" s="206">
        <v>4855.9</v>
      </c>
      <c r="D30" s="232">
        <f>17000/C30/12</f>
        <v>0.2917413181215978</v>
      </c>
      <c r="E30" s="132">
        <f t="shared" si="14"/>
        <v>0.29</v>
      </c>
      <c r="F30" s="132">
        <f t="shared" si="15"/>
        <v>16898.532</v>
      </c>
      <c r="G30" s="130">
        <f t="shared" si="0"/>
        <v>16899</v>
      </c>
      <c r="H30" s="232">
        <f>14500/C30/12</f>
        <v>0.24883818310371578</v>
      </c>
      <c r="I30" s="132">
        <f t="shared" si="1"/>
        <v>0.25</v>
      </c>
      <c r="J30" s="130">
        <f t="shared" si="17"/>
        <v>14567.699999999999</v>
      </c>
      <c r="K30" s="130">
        <f t="shared" si="18"/>
        <v>14568</v>
      </c>
      <c r="L30" s="232">
        <f t="shared" si="2"/>
        <v>0</v>
      </c>
      <c r="M30" s="167">
        <f t="shared" si="44"/>
        <v>0</v>
      </c>
      <c r="N30" s="130">
        <f t="shared" si="3"/>
        <v>0</v>
      </c>
      <c r="O30" s="130">
        <f t="shared" si="19"/>
        <v>0</v>
      </c>
      <c r="P30" s="232">
        <f t="shared" si="20"/>
        <v>0</v>
      </c>
      <c r="Q30" s="132">
        <f t="shared" si="46"/>
        <v>0</v>
      </c>
      <c r="R30" s="131">
        <f t="shared" si="4"/>
        <v>0</v>
      </c>
      <c r="S30" s="131">
        <f t="shared" si="21"/>
        <v>0</v>
      </c>
      <c r="T30" s="232">
        <f t="shared" si="45"/>
        <v>0</v>
      </c>
      <c r="U30" s="132">
        <f t="shared" si="5"/>
        <v>0</v>
      </c>
      <c r="V30" s="121">
        <f t="shared" si="6"/>
        <v>0</v>
      </c>
      <c r="W30" s="132">
        <f t="shared" si="22"/>
        <v>0</v>
      </c>
      <c r="X30" s="232">
        <f>145000/C30/12</f>
        <v>2.4883818310371577</v>
      </c>
      <c r="Y30" s="132">
        <f t="shared" si="7"/>
        <v>2.49</v>
      </c>
      <c r="Z30" s="132">
        <f t="shared" si="8"/>
        <v>145094.29200000002</v>
      </c>
      <c r="AA30" s="132">
        <f t="shared" si="23"/>
        <v>145094</v>
      </c>
      <c r="AB30" s="234">
        <f>60000/C30/12</f>
        <v>1.0296752404291687</v>
      </c>
      <c r="AC30" s="132">
        <f t="shared" si="24"/>
        <v>1.03</v>
      </c>
      <c r="AD30" s="130">
        <f t="shared" si="10"/>
        <v>60018.92399999999</v>
      </c>
      <c r="AE30" s="178">
        <f t="shared" si="25"/>
        <v>60019</v>
      </c>
      <c r="AF30" s="34">
        <f>6900/C30/12</f>
        <v>0.11841265264935441</v>
      </c>
      <c r="AG30" s="167">
        <f t="shared" si="26"/>
        <v>0.12</v>
      </c>
      <c r="AH30" s="218">
        <f t="shared" si="27"/>
        <v>6992.495999999999</v>
      </c>
      <c r="AI30" s="218">
        <f t="shared" si="28"/>
        <v>6992</v>
      </c>
      <c r="AJ30" s="218">
        <f t="shared" si="29"/>
        <v>0.2574188101072922</v>
      </c>
      <c r="AK30" s="167">
        <f t="shared" si="30"/>
        <v>0.26</v>
      </c>
      <c r="AL30" s="218">
        <f t="shared" si="31"/>
        <v>15150.408</v>
      </c>
      <c r="AM30" s="218">
        <f t="shared" si="32"/>
        <v>15150</v>
      </c>
      <c r="AN30" s="218">
        <f t="shared" si="33"/>
        <v>0</v>
      </c>
      <c r="AO30" s="167">
        <f t="shared" si="34"/>
        <v>0</v>
      </c>
      <c r="AP30" s="218">
        <f t="shared" si="47"/>
        <v>0</v>
      </c>
      <c r="AQ30" s="218">
        <f t="shared" si="35"/>
        <v>0</v>
      </c>
      <c r="AR30" s="218">
        <f t="shared" si="50"/>
        <v>0.17161254007152812</v>
      </c>
      <c r="AS30" s="167">
        <f t="shared" si="48"/>
        <v>0.17</v>
      </c>
      <c r="AT30" s="218">
        <f t="shared" si="51"/>
        <v>9906.036</v>
      </c>
      <c r="AU30" s="218">
        <f t="shared" si="49"/>
        <v>9906</v>
      </c>
      <c r="AV30" s="218">
        <f t="shared" si="37"/>
        <v>0</v>
      </c>
      <c r="AW30" s="218">
        <f t="shared" si="38"/>
        <v>0</v>
      </c>
      <c r="AX30" s="218">
        <f t="shared" si="39"/>
        <v>0</v>
      </c>
      <c r="AY30" s="218">
        <f t="shared" si="40"/>
        <v>0</v>
      </c>
      <c r="AZ30" s="196">
        <f t="shared" si="41"/>
        <v>4.61</v>
      </c>
      <c r="BA30" s="212">
        <f t="shared" si="42"/>
        <v>268628.38800000004</v>
      </c>
      <c r="BB30" s="281">
        <f t="shared" si="43"/>
        <v>268628</v>
      </c>
      <c r="BE30" s="245"/>
    </row>
    <row r="31" spans="1:57" ht="21" customHeight="1">
      <c r="A31" s="205">
        <v>17</v>
      </c>
      <c r="B31" s="279" t="s">
        <v>34</v>
      </c>
      <c r="C31" s="206">
        <v>4736.91</v>
      </c>
      <c r="D31" s="232">
        <f>15000/C31/12</f>
        <v>0.26388510653569525</v>
      </c>
      <c r="E31" s="132">
        <f t="shared" si="14"/>
        <v>0.26</v>
      </c>
      <c r="F31" s="132">
        <f t="shared" si="15"/>
        <v>14779.159200000002</v>
      </c>
      <c r="G31" s="130">
        <f t="shared" si="0"/>
        <v>14779</v>
      </c>
      <c r="H31" s="232">
        <f t="shared" si="16"/>
        <v>0</v>
      </c>
      <c r="I31" s="132">
        <f t="shared" si="1"/>
        <v>0</v>
      </c>
      <c r="J31" s="130">
        <f t="shared" si="17"/>
        <v>0</v>
      </c>
      <c r="K31" s="130">
        <f t="shared" si="18"/>
        <v>0</v>
      </c>
      <c r="L31" s="232">
        <f t="shared" si="2"/>
        <v>0</v>
      </c>
      <c r="M31" s="167">
        <f t="shared" si="44"/>
        <v>0</v>
      </c>
      <c r="N31" s="130">
        <f t="shared" si="3"/>
        <v>0</v>
      </c>
      <c r="O31" s="136">
        <f t="shared" si="19"/>
        <v>0</v>
      </c>
      <c r="P31" s="232">
        <f t="shared" si="20"/>
        <v>0</v>
      </c>
      <c r="Q31" s="132">
        <f t="shared" si="46"/>
        <v>0</v>
      </c>
      <c r="R31" s="131">
        <f t="shared" si="4"/>
        <v>0</v>
      </c>
      <c r="S31" s="131">
        <f t="shared" si="21"/>
        <v>0</v>
      </c>
      <c r="T31" s="232">
        <f t="shared" si="45"/>
        <v>0</v>
      </c>
      <c r="U31" s="132">
        <f t="shared" si="5"/>
        <v>0</v>
      </c>
      <c r="V31" s="121">
        <f t="shared" si="6"/>
        <v>0</v>
      </c>
      <c r="W31" s="132">
        <f t="shared" si="22"/>
        <v>0</v>
      </c>
      <c r="X31" s="232">
        <f>145000/C31/12</f>
        <v>2.550889363178387</v>
      </c>
      <c r="Y31" s="132">
        <f t="shared" si="7"/>
        <v>2.55</v>
      </c>
      <c r="Z31" s="132">
        <f t="shared" si="8"/>
        <v>144949.446</v>
      </c>
      <c r="AA31" s="132">
        <f t="shared" si="23"/>
        <v>144949</v>
      </c>
      <c r="AB31" s="234">
        <f>60000/C31/12</f>
        <v>1.055540426142781</v>
      </c>
      <c r="AC31" s="132">
        <f t="shared" si="24"/>
        <v>1.06</v>
      </c>
      <c r="AD31" s="130">
        <f t="shared" si="10"/>
        <v>60253.495200000005</v>
      </c>
      <c r="AE31" s="178">
        <f t="shared" si="25"/>
        <v>60253</v>
      </c>
      <c r="AF31" s="34">
        <f>3400/C31/12</f>
        <v>0.059813957481424256</v>
      </c>
      <c r="AG31" s="167">
        <f t="shared" si="26"/>
        <v>0.06</v>
      </c>
      <c r="AH31" s="218">
        <f t="shared" si="27"/>
        <v>3410.5751999999993</v>
      </c>
      <c r="AI31" s="218">
        <f t="shared" si="28"/>
        <v>3411</v>
      </c>
      <c r="AJ31" s="218">
        <f t="shared" si="29"/>
        <v>0.26388510653569525</v>
      </c>
      <c r="AK31" s="167">
        <f t="shared" si="30"/>
        <v>0.26</v>
      </c>
      <c r="AL31" s="218">
        <f t="shared" si="31"/>
        <v>14779.159200000002</v>
      </c>
      <c r="AM31" s="218">
        <f t="shared" si="32"/>
        <v>14779</v>
      </c>
      <c r="AN31" s="218">
        <f t="shared" si="33"/>
        <v>0</v>
      </c>
      <c r="AO31" s="167">
        <f t="shared" si="34"/>
        <v>0</v>
      </c>
      <c r="AP31" s="218">
        <f t="shared" si="47"/>
        <v>0</v>
      </c>
      <c r="AQ31" s="218">
        <f t="shared" si="35"/>
        <v>0</v>
      </c>
      <c r="AR31" s="218">
        <f t="shared" si="50"/>
        <v>0.17592340435713016</v>
      </c>
      <c r="AS31" s="167">
        <v>0.16</v>
      </c>
      <c r="AT31" s="218">
        <f t="shared" si="51"/>
        <v>9094.867199999999</v>
      </c>
      <c r="AU31" s="218">
        <f t="shared" si="49"/>
        <v>9095</v>
      </c>
      <c r="AV31" s="218">
        <f t="shared" si="37"/>
        <v>0</v>
      </c>
      <c r="AW31" s="218">
        <f t="shared" si="38"/>
        <v>0</v>
      </c>
      <c r="AX31" s="218">
        <f t="shared" si="39"/>
        <v>0</v>
      </c>
      <c r="AY31" s="218">
        <f t="shared" si="40"/>
        <v>0</v>
      </c>
      <c r="AZ31" s="196">
        <f t="shared" si="41"/>
        <v>4.35</v>
      </c>
      <c r="BA31" s="212">
        <f t="shared" si="42"/>
        <v>247266.702</v>
      </c>
      <c r="BB31" s="281">
        <f t="shared" si="43"/>
        <v>247267</v>
      </c>
      <c r="BE31" s="245"/>
    </row>
    <row r="32" spans="1:57" ht="21" customHeight="1">
      <c r="A32" s="205">
        <v>18</v>
      </c>
      <c r="B32" s="279" t="s">
        <v>35</v>
      </c>
      <c r="C32" s="206">
        <v>4635.9</v>
      </c>
      <c r="D32" s="232">
        <f>0/C32/12</f>
        <v>0</v>
      </c>
      <c r="E32" s="132">
        <f t="shared" si="14"/>
        <v>0</v>
      </c>
      <c r="F32" s="132">
        <f t="shared" si="15"/>
        <v>0</v>
      </c>
      <c r="G32" s="269">
        <f t="shared" si="0"/>
        <v>0</v>
      </c>
      <c r="H32" s="232">
        <f t="shared" si="16"/>
        <v>0</v>
      </c>
      <c r="I32" s="132">
        <f t="shared" si="1"/>
        <v>0</v>
      </c>
      <c r="J32" s="130">
        <f>I32*C32*12</f>
        <v>0</v>
      </c>
      <c r="K32" s="130">
        <f t="shared" si="18"/>
        <v>0</v>
      </c>
      <c r="L32" s="232">
        <f t="shared" si="2"/>
        <v>0</v>
      </c>
      <c r="M32" s="167">
        <f t="shared" si="44"/>
        <v>0</v>
      </c>
      <c r="N32" s="130">
        <f t="shared" si="3"/>
        <v>0</v>
      </c>
      <c r="O32" s="130">
        <f t="shared" si="19"/>
        <v>0</v>
      </c>
      <c r="P32" s="232">
        <f t="shared" si="20"/>
        <v>0</v>
      </c>
      <c r="Q32" s="132">
        <f t="shared" si="46"/>
        <v>0</v>
      </c>
      <c r="R32" s="131">
        <f t="shared" si="4"/>
        <v>0</v>
      </c>
      <c r="S32" s="131">
        <f t="shared" si="21"/>
        <v>0</v>
      </c>
      <c r="T32" s="232">
        <f t="shared" si="45"/>
        <v>0</v>
      </c>
      <c r="U32" s="132">
        <f t="shared" si="5"/>
        <v>0</v>
      </c>
      <c r="V32" s="121">
        <f t="shared" si="6"/>
        <v>0</v>
      </c>
      <c r="W32" s="132">
        <f t="shared" si="22"/>
        <v>0</v>
      </c>
      <c r="X32" s="232">
        <f>145000/C32/12</f>
        <v>2.6064697973065285</v>
      </c>
      <c r="Y32" s="132">
        <f t="shared" si="7"/>
        <v>2.61</v>
      </c>
      <c r="Z32" s="132">
        <f t="shared" si="8"/>
        <v>145196.38799999998</v>
      </c>
      <c r="AA32" s="132">
        <f t="shared" si="23"/>
        <v>145196</v>
      </c>
      <c r="AB32" s="234">
        <f t="shared" si="52"/>
        <v>0</v>
      </c>
      <c r="AC32" s="132">
        <f t="shared" si="24"/>
        <v>0</v>
      </c>
      <c r="AD32" s="130">
        <f t="shared" si="10"/>
        <v>0</v>
      </c>
      <c r="AE32" s="178">
        <f t="shared" si="25"/>
        <v>0</v>
      </c>
      <c r="AF32" s="34">
        <f>7600/C32/12</f>
        <v>0.13661496868641113</v>
      </c>
      <c r="AG32" s="167">
        <f t="shared" si="26"/>
        <v>0.14</v>
      </c>
      <c r="AH32" s="218">
        <f t="shared" si="27"/>
        <v>7788.312000000001</v>
      </c>
      <c r="AI32" s="218">
        <f t="shared" si="28"/>
        <v>7788</v>
      </c>
      <c r="AJ32" s="218">
        <f t="shared" si="29"/>
        <v>0.2696348066179167</v>
      </c>
      <c r="AK32" s="167">
        <f t="shared" si="30"/>
        <v>0.27</v>
      </c>
      <c r="AL32" s="218">
        <f t="shared" si="31"/>
        <v>15020.315999999999</v>
      </c>
      <c r="AM32" s="218">
        <f t="shared" si="32"/>
        <v>15020</v>
      </c>
      <c r="AN32" s="218">
        <f>32000/C32/12</f>
        <v>0.575220920784889</v>
      </c>
      <c r="AO32" s="167">
        <f t="shared" si="34"/>
        <v>0.58</v>
      </c>
      <c r="AP32" s="218">
        <f t="shared" si="47"/>
        <v>32265.863999999994</v>
      </c>
      <c r="AQ32" s="218">
        <f t="shared" si="35"/>
        <v>32266</v>
      </c>
      <c r="AR32" s="218">
        <f t="shared" si="50"/>
        <v>0.1797565377452778</v>
      </c>
      <c r="AS32" s="167">
        <f t="shared" si="48"/>
        <v>0.18</v>
      </c>
      <c r="AT32" s="218">
        <f t="shared" si="51"/>
        <v>10013.543999999998</v>
      </c>
      <c r="AU32" s="218">
        <f t="shared" si="49"/>
        <v>10014</v>
      </c>
      <c r="AV32" s="221">
        <f>60000/C32/12</f>
        <v>1.078539226471667</v>
      </c>
      <c r="AW32" s="218">
        <f t="shared" si="38"/>
        <v>1.08</v>
      </c>
      <c r="AX32" s="218">
        <f t="shared" si="39"/>
        <v>60081.263999999996</v>
      </c>
      <c r="AY32" s="218">
        <f t="shared" si="40"/>
        <v>60081</v>
      </c>
      <c r="AZ32" s="196">
        <f t="shared" si="41"/>
        <v>4.86</v>
      </c>
      <c r="BA32" s="212">
        <f t="shared" si="42"/>
        <v>270365.68799999997</v>
      </c>
      <c r="BB32" s="281">
        <f t="shared" si="43"/>
        <v>270366</v>
      </c>
      <c r="BE32" s="245"/>
    </row>
    <row r="33" spans="1:57" ht="21" customHeight="1">
      <c r="A33" s="207">
        <v>19</v>
      </c>
      <c r="B33" s="279" t="s">
        <v>36</v>
      </c>
      <c r="C33" s="206">
        <v>3667.4</v>
      </c>
      <c r="D33" s="232">
        <f>50000/C33/12</f>
        <v>1.13613640908182</v>
      </c>
      <c r="E33" s="132">
        <f t="shared" si="14"/>
        <v>1.14</v>
      </c>
      <c r="F33" s="132">
        <f t="shared" si="15"/>
        <v>50170.03199999999</v>
      </c>
      <c r="G33" s="130">
        <f t="shared" si="0"/>
        <v>50170</v>
      </c>
      <c r="H33" s="131">
        <f>15000/C33/12</f>
        <v>0.34084092272454597</v>
      </c>
      <c r="I33" s="130">
        <f aca="true" t="shared" si="53" ref="I33:I39">ROUND(H33,1)</f>
        <v>0.3</v>
      </c>
      <c r="J33" s="130">
        <f t="shared" si="17"/>
        <v>13202.64</v>
      </c>
      <c r="K33" s="130">
        <f t="shared" si="18"/>
        <v>13203</v>
      </c>
      <c r="L33" s="232">
        <f>12000/C33/12</f>
        <v>0.2726727381796368</v>
      </c>
      <c r="M33" s="167">
        <f t="shared" si="44"/>
        <v>0.27</v>
      </c>
      <c r="N33" s="130">
        <f t="shared" si="3"/>
        <v>11882.376</v>
      </c>
      <c r="O33" s="130">
        <f t="shared" si="19"/>
        <v>11882</v>
      </c>
      <c r="P33" s="232">
        <f>16000/C33/12</f>
        <v>0.36356365090618237</v>
      </c>
      <c r="Q33" s="132">
        <f aca="true" t="shared" si="54" ref="Q33:Q39">ROUND(P33,2)</f>
        <v>0.36</v>
      </c>
      <c r="R33" s="131">
        <f t="shared" si="4"/>
        <v>15843.167999999998</v>
      </c>
      <c r="S33" s="131">
        <f t="shared" si="21"/>
        <v>15843</v>
      </c>
      <c r="T33" s="232">
        <f>82000/C33/12</f>
        <v>1.863263710894185</v>
      </c>
      <c r="U33" s="132">
        <f aca="true" t="shared" si="55" ref="U33:U39">ROUND(T33,2)</f>
        <v>1.86</v>
      </c>
      <c r="V33" s="121">
        <f t="shared" si="6"/>
        <v>81856.368</v>
      </c>
      <c r="W33" s="132">
        <f t="shared" si="22"/>
        <v>81856</v>
      </c>
      <c r="X33" s="232">
        <f>12000/C33/12</f>
        <v>0.2726727381796368</v>
      </c>
      <c r="Y33" s="132">
        <f aca="true" t="shared" si="56" ref="Y33:Y39">ROUND(X33,2)</f>
        <v>0.27</v>
      </c>
      <c r="Z33" s="132">
        <f t="shared" si="8"/>
        <v>11882.376</v>
      </c>
      <c r="AA33" s="132">
        <f t="shared" si="23"/>
        <v>11882</v>
      </c>
      <c r="AB33" s="234">
        <f t="shared" si="52"/>
        <v>0</v>
      </c>
      <c r="AC33" s="132">
        <f t="shared" si="24"/>
        <v>0</v>
      </c>
      <c r="AD33" s="130">
        <f t="shared" si="10"/>
        <v>0</v>
      </c>
      <c r="AE33" s="178">
        <f t="shared" si="25"/>
        <v>0</v>
      </c>
      <c r="AF33" s="34">
        <f>6400/C33/12</f>
        <v>0.14542546036247297</v>
      </c>
      <c r="AG33" s="167">
        <f aca="true" t="shared" si="57" ref="AG33:AG39">ROUND(AF33,2)</f>
        <v>0.15</v>
      </c>
      <c r="AH33" s="218">
        <f t="shared" si="27"/>
        <v>6601.32</v>
      </c>
      <c r="AI33" s="34">
        <f t="shared" si="28"/>
        <v>6601</v>
      </c>
      <c r="AJ33" s="218">
        <f aca="true" t="shared" si="58" ref="AJ33:AJ39">15000/C33/12</f>
        <v>0.34084092272454597</v>
      </c>
      <c r="AK33" s="167">
        <f t="shared" si="30"/>
        <v>0.34</v>
      </c>
      <c r="AL33" s="218">
        <f aca="true" t="shared" si="59" ref="AL33:AL39">AK33*C33*12</f>
        <v>14962.992000000002</v>
      </c>
      <c r="AM33" s="218">
        <f aca="true" t="shared" si="60" ref="AM33:AM39">ROUND(AL33,0)</f>
        <v>14963</v>
      </c>
      <c r="AN33" s="218">
        <f aca="true" t="shared" si="61" ref="AN33:AN39">0/C33/12</f>
        <v>0</v>
      </c>
      <c r="AO33" s="167">
        <f aca="true" t="shared" si="62" ref="AO33:AO39">ROUND(AN33,2)</f>
        <v>0</v>
      </c>
      <c r="AP33" s="218">
        <f aca="true" t="shared" si="63" ref="AP33:AP39">AO33*C33*12</f>
        <v>0</v>
      </c>
      <c r="AQ33" s="218">
        <f aca="true" t="shared" si="64" ref="AQ33:AQ40">ROUND(AP33,0)</f>
        <v>0</v>
      </c>
      <c r="AR33" s="218">
        <f aca="true" t="shared" si="65" ref="AR33:AR39">10000/C33/12</f>
        <v>0.22722728181636398</v>
      </c>
      <c r="AS33" s="167">
        <f t="shared" si="48"/>
        <v>0.23</v>
      </c>
      <c r="AT33" s="218">
        <f t="shared" si="51"/>
        <v>10122.024000000001</v>
      </c>
      <c r="AU33" s="218">
        <f t="shared" si="49"/>
        <v>10122</v>
      </c>
      <c r="AV33" s="218">
        <f t="shared" si="37"/>
        <v>0</v>
      </c>
      <c r="AW33" s="218">
        <f t="shared" si="38"/>
        <v>0</v>
      </c>
      <c r="AX33" s="218">
        <f t="shared" si="39"/>
        <v>0</v>
      </c>
      <c r="AY33" s="218">
        <f t="shared" si="40"/>
        <v>0</v>
      </c>
      <c r="AZ33" s="196">
        <f t="shared" si="41"/>
        <v>4.92</v>
      </c>
      <c r="BA33" s="212">
        <f t="shared" si="42"/>
        <v>216523.29599999997</v>
      </c>
      <c r="BB33" s="281">
        <f aca="true" t="shared" si="66" ref="BB33:BB39">ROUND(BA33,0)</f>
        <v>216523</v>
      </c>
      <c r="BE33" s="245"/>
    </row>
    <row r="34" spans="1:57" ht="21" customHeight="1">
      <c r="A34" s="207">
        <v>20</v>
      </c>
      <c r="B34" s="279" t="s">
        <v>37</v>
      </c>
      <c r="C34" s="206">
        <v>1487.25</v>
      </c>
      <c r="D34" s="232">
        <f>20000/C34/12</f>
        <v>1.120636521544237</v>
      </c>
      <c r="E34" s="132">
        <f t="shared" si="14"/>
        <v>1.12</v>
      </c>
      <c r="F34" s="132">
        <f t="shared" si="15"/>
        <v>19988.640000000003</v>
      </c>
      <c r="G34" s="197">
        <f t="shared" si="0"/>
        <v>19989</v>
      </c>
      <c r="H34" s="131">
        <f t="shared" si="16"/>
        <v>0</v>
      </c>
      <c r="I34" s="130">
        <f t="shared" si="53"/>
        <v>0</v>
      </c>
      <c r="J34" s="130">
        <f t="shared" si="17"/>
        <v>0</v>
      </c>
      <c r="K34" s="130">
        <f t="shared" si="18"/>
        <v>0</v>
      </c>
      <c r="L34" s="232">
        <f>0/C34/12</f>
        <v>0</v>
      </c>
      <c r="M34" s="167">
        <f t="shared" si="44"/>
        <v>0</v>
      </c>
      <c r="N34" s="130">
        <f t="shared" si="3"/>
        <v>0</v>
      </c>
      <c r="O34" s="130">
        <f t="shared" si="19"/>
        <v>0</v>
      </c>
      <c r="P34" s="232">
        <f>0/C34/12</f>
        <v>0</v>
      </c>
      <c r="Q34" s="132">
        <f t="shared" si="54"/>
        <v>0</v>
      </c>
      <c r="R34" s="131">
        <f t="shared" si="4"/>
        <v>0</v>
      </c>
      <c r="S34" s="131">
        <f t="shared" si="21"/>
        <v>0</v>
      </c>
      <c r="T34" s="232">
        <f t="shared" si="45"/>
        <v>0</v>
      </c>
      <c r="U34" s="132">
        <f t="shared" si="55"/>
        <v>0</v>
      </c>
      <c r="V34" s="121">
        <f t="shared" si="6"/>
        <v>0</v>
      </c>
      <c r="W34" s="132">
        <f t="shared" si="22"/>
        <v>0</v>
      </c>
      <c r="X34" s="232">
        <f>12000/C34/12</f>
        <v>0.6723819129265424</v>
      </c>
      <c r="Y34" s="132">
        <f t="shared" si="56"/>
        <v>0.67</v>
      </c>
      <c r="Z34" s="132">
        <f t="shared" si="8"/>
        <v>11957.490000000002</v>
      </c>
      <c r="AA34" s="132">
        <f t="shared" si="23"/>
        <v>11957</v>
      </c>
      <c r="AB34" s="234">
        <f t="shared" si="52"/>
        <v>0</v>
      </c>
      <c r="AC34" s="132">
        <f t="shared" si="24"/>
        <v>0</v>
      </c>
      <c r="AD34" s="130">
        <f t="shared" si="10"/>
        <v>0</v>
      </c>
      <c r="AE34" s="178">
        <f t="shared" si="25"/>
        <v>0</v>
      </c>
      <c r="AF34" s="34">
        <f>3400/C34/12</f>
        <v>0.1905082086625203</v>
      </c>
      <c r="AG34" s="167">
        <f t="shared" si="57"/>
        <v>0.19</v>
      </c>
      <c r="AH34" s="218">
        <f t="shared" si="27"/>
        <v>3390.93</v>
      </c>
      <c r="AI34" s="34">
        <f t="shared" si="28"/>
        <v>3391</v>
      </c>
      <c r="AJ34" s="218">
        <f t="shared" si="58"/>
        <v>0.8404773911581779</v>
      </c>
      <c r="AK34" s="167">
        <f t="shared" si="30"/>
        <v>0.84</v>
      </c>
      <c r="AL34" s="218">
        <f t="shared" si="59"/>
        <v>14991.48</v>
      </c>
      <c r="AM34" s="218">
        <f t="shared" si="60"/>
        <v>14991</v>
      </c>
      <c r="AN34" s="218">
        <f t="shared" si="61"/>
        <v>0</v>
      </c>
      <c r="AO34" s="167">
        <f t="shared" si="62"/>
        <v>0</v>
      </c>
      <c r="AP34" s="218">
        <f t="shared" si="63"/>
        <v>0</v>
      </c>
      <c r="AQ34" s="218">
        <f t="shared" si="64"/>
        <v>0</v>
      </c>
      <c r="AR34" s="218">
        <f t="shared" si="65"/>
        <v>0.5603182607721185</v>
      </c>
      <c r="AS34" s="167">
        <f t="shared" si="48"/>
        <v>0.56</v>
      </c>
      <c r="AT34" s="218">
        <f t="shared" si="51"/>
        <v>9994.320000000002</v>
      </c>
      <c r="AU34" s="218">
        <f t="shared" si="49"/>
        <v>9994</v>
      </c>
      <c r="AV34" s="218">
        <f t="shared" si="37"/>
        <v>0</v>
      </c>
      <c r="AW34" s="218">
        <f t="shared" si="38"/>
        <v>0</v>
      </c>
      <c r="AX34" s="218">
        <f t="shared" si="39"/>
        <v>0</v>
      </c>
      <c r="AY34" s="218">
        <f t="shared" si="40"/>
        <v>0</v>
      </c>
      <c r="AZ34" s="196">
        <f t="shared" si="41"/>
        <v>3.38</v>
      </c>
      <c r="BA34" s="212">
        <f t="shared" si="42"/>
        <v>60322.86000000001</v>
      </c>
      <c r="BB34" s="281">
        <f t="shared" si="66"/>
        <v>60323</v>
      </c>
      <c r="BE34" s="245"/>
    </row>
    <row r="35" spans="1:57" ht="21" customHeight="1">
      <c r="A35" s="207">
        <v>21</v>
      </c>
      <c r="B35" s="279" t="s">
        <v>38</v>
      </c>
      <c r="C35" s="206">
        <v>3662.9</v>
      </c>
      <c r="D35" s="232">
        <f>20000/C35/12</f>
        <v>0.45501287686441527</v>
      </c>
      <c r="E35" s="132">
        <f t="shared" si="14"/>
        <v>0.46</v>
      </c>
      <c r="F35" s="132">
        <f t="shared" si="15"/>
        <v>20219.208000000002</v>
      </c>
      <c r="G35" s="130">
        <f t="shared" si="0"/>
        <v>20219</v>
      </c>
      <c r="H35" s="131">
        <f>15000/C35/12</f>
        <v>0.3412596576483114</v>
      </c>
      <c r="I35" s="130">
        <f t="shared" si="53"/>
        <v>0.3</v>
      </c>
      <c r="J35" s="130">
        <f t="shared" si="17"/>
        <v>13186.439999999999</v>
      </c>
      <c r="K35" s="130">
        <f t="shared" si="18"/>
        <v>13186</v>
      </c>
      <c r="L35" s="232">
        <f>11000/C35/12</f>
        <v>0.25025708227542837</v>
      </c>
      <c r="M35" s="167">
        <f t="shared" si="44"/>
        <v>0.25</v>
      </c>
      <c r="N35" s="130">
        <f t="shared" si="3"/>
        <v>10988.7</v>
      </c>
      <c r="O35" s="130">
        <f t="shared" si="19"/>
        <v>10989</v>
      </c>
      <c r="P35" s="232">
        <f>17000/C35/12</f>
        <v>0.38676094533475297</v>
      </c>
      <c r="Q35" s="132">
        <f t="shared" si="54"/>
        <v>0.39</v>
      </c>
      <c r="R35" s="131">
        <f t="shared" si="4"/>
        <v>17142.372000000003</v>
      </c>
      <c r="S35" s="131">
        <f t="shared" si="21"/>
        <v>17142</v>
      </c>
      <c r="T35" s="232">
        <f>82000/C35/12</f>
        <v>1.8655527951441027</v>
      </c>
      <c r="U35" s="132">
        <f t="shared" si="55"/>
        <v>1.87</v>
      </c>
      <c r="V35" s="121">
        <f t="shared" si="6"/>
        <v>82195.47600000001</v>
      </c>
      <c r="W35" s="132">
        <f t="shared" si="22"/>
        <v>82195</v>
      </c>
      <c r="X35" s="232">
        <f>36000/C35/12</f>
        <v>0.8190231783559474</v>
      </c>
      <c r="Y35" s="132">
        <f t="shared" si="56"/>
        <v>0.82</v>
      </c>
      <c r="Z35" s="132">
        <f t="shared" si="8"/>
        <v>36042.936</v>
      </c>
      <c r="AA35" s="132">
        <f t="shared" si="23"/>
        <v>36043</v>
      </c>
      <c r="AB35" s="234">
        <f t="shared" si="52"/>
        <v>0</v>
      </c>
      <c r="AC35" s="132">
        <f t="shared" si="24"/>
        <v>0</v>
      </c>
      <c r="AD35" s="130">
        <f t="shared" si="10"/>
        <v>0</v>
      </c>
      <c r="AE35" s="178">
        <f t="shared" si="25"/>
        <v>0</v>
      </c>
      <c r="AF35" s="34">
        <f>5950/C35/12</f>
        <v>0.13536633086716354</v>
      </c>
      <c r="AG35" s="167">
        <f t="shared" si="57"/>
        <v>0.14</v>
      </c>
      <c r="AH35" s="218">
        <f t="shared" si="27"/>
        <v>6153.6720000000005</v>
      </c>
      <c r="AI35" s="34">
        <f t="shared" si="28"/>
        <v>6154</v>
      </c>
      <c r="AJ35" s="218">
        <f t="shared" si="58"/>
        <v>0.3412596576483114</v>
      </c>
      <c r="AK35" s="167">
        <f t="shared" si="30"/>
        <v>0.34</v>
      </c>
      <c r="AL35" s="218">
        <f t="shared" si="59"/>
        <v>14944.632000000001</v>
      </c>
      <c r="AM35" s="218">
        <f t="shared" si="60"/>
        <v>14945</v>
      </c>
      <c r="AN35" s="218">
        <f t="shared" si="61"/>
        <v>0</v>
      </c>
      <c r="AO35" s="167">
        <f t="shared" si="62"/>
        <v>0</v>
      </c>
      <c r="AP35" s="218">
        <f t="shared" si="63"/>
        <v>0</v>
      </c>
      <c r="AQ35" s="218">
        <f t="shared" si="64"/>
        <v>0</v>
      </c>
      <c r="AR35" s="218">
        <f t="shared" si="65"/>
        <v>0.22750643843220764</v>
      </c>
      <c r="AS35" s="167">
        <f t="shared" si="48"/>
        <v>0.23</v>
      </c>
      <c r="AT35" s="218">
        <f t="shared" si="51"/>
        <v>10109.604000000001</v>
      </c>
      <c r="AU35" s="218">
        <f t="shared" si="49"/>
        <v>10110</v>
      </c>
      <c r="AV35" s="218">
        <f t="shared" si="37"/>
        <v>0</v>
      </c>
      <c r="AW35" s="218">
        <f t="shared" si="38"/>
        <v>0</v>
      </c>
      <c r="AX35" s="218">
        <f t="shared" si="39"/>
        <v>0</v>
      </c>
      <c r="AY35" s="218">
        <f t="shared" si="40"/>
        <v>0</v>
      </c>
      <c r="AZ35" s="196">
        <f t="shared" si="41"/>
        <v>4.8</v>
      </c>
      <c r="BA35" s="212">
        <f t="shared" si="42"/>
        <v>210983.03999999998</v>
      </c>
      <c r="BB35" s="281">
        <f t="shared" si="66"/>
        <v>210983</v>
      </c>
      <c r="BE35" s="245"/>
    </row>
    <row r="36" spans="1:57" ht="21" customHeight="1">
      <c r="A36" s="207">
        <v>22</v>
      </c>
      <c r="B36" s="279" t="s">
        <v>39</v>
      </c>
      <c r="C36" s="206">
        <v>1477.8</v>
      </c>
      <c r="D36" s="232">
        <f>28000/C36/12</f>
        <v>1.5789236252086436</v>
      </c>
      <c r="E36" s="132">
        <f t="shared" si="14"/>
        <v>1.58</v>
      </c>
      <c r="F36" s="132">
        <f t="shared" si="15"/>
        <v>28019.088</v>
      </c>
      <c r="G36" s="130">
        <f t="shared" si="0"/>
        <v>28019</v>
      </c>
      <c r="H36" s="131">
        <f>12000/C36/12</f>
        <v>0.6766815536608473</v>
      </c>
      <c r="I36" s="130">
        <f t="shared" si="53"/>
        <v>0.7</v>
      </c>
      <c r="J36" s="130">
        <f t="shared" si="17"/>
        <v>12413.519999999997</v>
      </c>
      <c r="K36" s="130">
        <f t="shared" si="18"/>
        <v>12414</v>
      </c>
      <c r="L36" s="232">
        <f t="shared" si="2"/>
        <v>0</v>
      </c>
      <c r="M36" s="167">
        <f t="shared" si="44"/>
        <v>0</v>
      </c>
      <c r="N36" s="130">
        <f t="shared" si="3"/>
        <v>0</v>
      </c>
      <c r="O36" s="130">
        <f t="shared" si="19"/>
        <v>0</v>
      </c>
      <c r="P36" s="232">
        <f>0/C36/12</f>
        <v>0</v>
      </c>
      <c r="Q36" s="132">
        <f t="shared" si="54"/>
        <v>0</v>
      </c>
      <c r="R36" s="131">
        <f t="shared" si="4"/>
        <v>0</v>
      </c>
      <c r="S36" s="131">
        <f t="shared" si="21"/>
        <v>0</v>
      </c>
      <c r="T36" s="232">
        <f t="shared" si="45"/>
        <v>0</v>
      </c>
      <c r="U36" s="132">
        <f t="shared" si="55"/>
        <v>0</v>
      </c>
      <c r="V36" s="121">
        <f t="shared" si="6"/>
        <v>0</v>
      </c>
      <c r="W36" s="132">
        <f t="shared" si="22"/>
        <v>0</v>
      </c>
      <c r="X36" s="232">
        <f>25500/C36/12</f>
        <v>1.4379483015293004</v>
      </c>
      <c r="Y36" s="132">
        <f t="shared" si="56"/>
        <v>1.44</v>
      </c>
      <c r="Z36" s="132">
        <f t="shared" si="8"/>
        <v>25536.384</v>
      </c>
      <c r="AA36" s="132">
        <f t="shared" si="23"/>
        <v>25536</v>
      </c>
      <c r="AB36" s="234">
        <f t="shared" si="52"/>
        <v>0</v>
      </c>
      <c r="AC36" s="132">
        <f t="shared" si="24"/>
        <v>0</v>
      </c>
      <c r="AD36" s="130">
        <f t="shared" si="10"/>
        <v>0</v>
      </c>
      <c r="AE36" s="178">
        <f t="shared" si="25"/>
        <v>0</v>
      </c>
      <c r="AF36" s="34">
        <f>2900/C36/12</f>
        <v>0.1635313754680381</v>
      </c>
      <c r="AG36" s="167">
        <f t="shared" si="57"/>
        <v>0.16</v>
      </c>
      <c r="AH36" s="218">
        <f t="shared" si="27"/>
        <v>2837.376</v>
      </c>
      <c r="AI36" s="34">
        <f t="shared" si="28"/>
        <v>2837</v>
      </c>
      <c r="AJ36" s="218">
        <f t="shared" si="58"/>
        <v>0.8458519420760591</v>
      </c>
      <c r="AK36" s="167">
        <f t="shared" si="30"/>
        <v>0.85</v>
      </c>
      <c r="AL36" s="218">
        <f t="shared" si="59"/>
        <v>15073.559999999998</v>
      </c>
      <c r="AM36" s="218">
        <f t="shared" si="60"/>
        <v>15074</v>
      </c>
      <c r="AN36" s="218">
        <f t="shared" si="61"/>
        <v>0</v>
      </c>
      <c r="AO36" s="167">
        <f t="shared" si="62"/>
        <v>0</v>
      </c>
      <c r="AP36" s="218">
        <f t="shared" si="63"/>
        <v>0</v>
      </c>
      <c r="AQ36" s="218">
        <f t="shared" si="64"/>
        <v>0</v>
      </c>
      <c r="AR36" s="218">
        <f t="shared" si="65"/>
        <v>0.5639012947173727</v>
      </c>
      <c r="AS36" s="167">
        <f t="shared" si="48"/>
        <v>0.56</v>
      </c>
      <c r="AT36" s="218">
        <f t="shared" si="51"/>
        <v>9930.816</v>
      </c>
      <c r="AU36" s="218">
        <f t="shared" si="49"/>
        <v>9931</v>
      </c>
      <c r="AV36" s="218">
        <f t="shared" si="37"/>
        <v>0</v>
      </c>
      <c r="AW36" s="218">
        <f t="shared" si="38"/>
        <v>0</v>
      </c>
      <c r="AX36" s="218">
        <f t="shared" si="39"/>
        <v>0</v>
      </c>
      <c r="AY36" s="218">
        <f t="shared" si="40"/>
        <v>0</v>
      </c>
      <c r="AZ36" s="196">
        <f t="shared" si="41"/>
        <v>5.290000000000001</v>
      </c>
      <c r="BA36" s="212">
        <f t="shared" si="42"/>
        <v>93810.744</v>
      </c>
      <c r="BB36" s="281">
        <f t="shared" si="66"/>
        <v>93811</v>
      </c>
      <c r="BE36" s="245"/>
    </row>
    <row r="37" spans="1:57" ht="21" customHeight="1">
      <c r="A37" s="207">
        <v>23</v>
      </c>
      <c r="B37" s="279" t="s">
        <v>40</v>
      </c>
      <c r="C37" s="206">
        <v>3348.9</v>
      </c>
      <c r="D37" s="232">
        <f>15000/C37/12</f>
        <v>0.37325689032219533</v>
      </c>
      <c r="E37" s="132">
        <f t="shared" si="14"/>
        <v>0.37</v>
      </c>
      <c r="F37" s="132">
        <f t="shared" si="15"/>
        <v>14869.116000000002</v>
      </c>
      <c r="G37" s="130">
        <f t="shared" si="0"/>
        <v>14869</v>
      </c>
      <c r="H37" s="131">
        <f>22000/C37/12</f>
        <v>0.5474434391392199</v>
      </c>
      <c r="I37" s="130">
        <f t="shared" si="53"/>
        <v>0.5</v>
      </c>
      <c r="J37" s="130">
        <f t="shared" si="17"/>
        <v>20093.4</v>
      </c>
      <c r="K37" s="130">
        <f t="shared" si="18"/>
        <v>20093</v>
      </c>
      <c r="L37" s="232">
        <f t="shared" si="2"/>
        <v>0</v>
      </c>
      <c r="M37" s="167">
        <f t="shared" si="44"/>
        <v>0</v>
      </c>
      <c r="N37" s="130">
        <f t="shared" si="3"/>
        <v>0</v>
      </c>
      <c r="O37" s="130">
        <f t="shared" si="19"/>
        <v>0</v>
      </c>
      <c r="P37" s="232">
        <f>12000/C37/12</f>
        <v>0.2986055122577563</v>
      </c>
      <c r="Q37" s="132">
        <f t="shared" si="54"/>
        <v>0.3</v>
      </c>
      <c r="R37" s="131">
        <f t="shared" si="4"/>
        <v>12056.039999999999</v>
      </c>
      <c r="S37" s="131">
        <f t="shared" si="21"/>
        <v>12056</v>
      </c>
      <c r="T37" s="232">
        <f t="shared" si="45"/>
        <v>0</v>
      </c>
      <c r="U37" s="132">
        <f t="shared" si="55"/>
        <v>0</v>
      </c>
      <c r="V37" s="121">
        <f t="shared" si="6"/>
        <v>0</v>
      </c>
      <c r="W37" s="132">
        <f t="shared" si="22"/>
        <v>0</v>
      </c>
      <c r="X37" s="232">
        <f>0/C37/12</f>
        <v>0</v>
      </c>
      <c r="Y37" s="132">
        <f t="shared" si="56"/>
        <v>0</v>
      </c>
      <c r="Z37" s="132">
        <f t="shared" si="8"/>
        <v>0</v>
      </c>
      <c r="AA37" s="132">
        <f t="shared" si="23"/>
        <v>0</v>
      </c>
      <c r="AB37" s="234">
        <f>6000/C37/12</f>
        <v>0.14930275612887814</v>
      </c>
      <c r="AC37" s="132">
        <f t="shared" si="24"/>
        <v>0.15</v>
      </c>
      <c r="AD37" s="130">
        <f t="shared" si="10"/>
        <v>6028.0199999999995</v>
      </c>
      <c r="AE37" s="178">
        <f t="shared" si="25"/>
        <v>6028</v>
      </c>
      <c r="AF37" s="34">
        <f>5030/C37/12</f>
        <v>0.12516547722137616</v>
      </c>
      <c r="AG37" s="167">
        <f t="shared" si="57"/>
        <v>0.13</v>
      </c>
      <c r="AH37" s="218">
        <f t="shared" si="27"/>
        <v>5224.284000000001</v>
      </c>
      <c r="AI37" s="34">
        <f t="shared" si="28"/>
        <v>5224</v>
      </c>
      <c r="AJ37" s="218">
        <f t="shared" si="58"/>
        <v>0.37325689032219533</v>
      </c>
      <c r="AK37" s="167">
        <f t="shared" si="30"/>
        <v>0.37</v>
      </c>
      <c r="AL37" s="218">
        <f t="shared" si="59"/>
        <v>14869.116000000002</v>
      </c>
      <c r="AM37" s="218">
        <f t="shared" si="60"/>
        <v>14869</v>
      </c>
      <c r="AN37" s="218">
        <f t="shared" si="61"/>
        <v>0</v>
      </c>
      <c r="AO37" s="167">
        <f t="shared" si="62"/>
        <v>0</v>
      </c>
      <c r="AP37" s="218">
        <f t="shared" si="63"/>
        <v>0</v>
      </c>
      <c r="AQ37" s="218">
        <f t="shared" si="64"/>
        <v>0</v>
      </c>
      <c r="AR37" s="218">
        <f t="shared" si="65"/>
        <v>0.24883792688146356</v>
      </c>
      <c r="AS37" s="167">
        <f t="shared" si="48"/>
        <v>0.25</v>
      </c>
      <c r="AT37" s="218">
        <f t="shared" si="51"/>
        <v>10046.7</v>
      </c>
      <c r="AU37" s="218">
        <f t="shared" si="49"/>
        <v>10047</v>
      </c>
      <c r="AV37" s="218">
        <f t="shared" si="37"/>
        <v>0</v>
      </c>
      <c r="AW37" s="218">
        <f t="shared" si="38"/>
        <v>0</v>
      </c>
      <c r="AX37" s="218">
        <f t="shared" si="39"/>
        <v>0</v>
      </c>
      <c r="AY37" s="218">
        <f t="shared" si="40"/>
        <v>0</v>
      </c>
      <c r="AZ37" s="196">
        <f t="shared" si="41"/>
        <v>2.07</v>
      </c>
      <c r="BA37" s="212">
        <f t="shared" si="42"/>
        <v>83186.67599999999</v>
      </c>
      <c r="BB37" s="281">
        <f t="shared" si="66"/>
        <v>83187</v>
      </c>
      <c r="BE37" s="245"/>
    </row>
    <row r="38" spans="1:57" ht="21" customHeight="1">
      <c r="A38" s="207">
        <v>24</v>
      </c>
      <c r="B38" s="279" t="s">
        <v>41</v>
      </c>
      <c r="C38" s="206">
        <v>3671</v>
      </c>
      <c r="D38" s="232">
        <f>21000/C38/12</f>
        <v>0.47670934350313265</v>
      </c>
      <c r="E38" s="132">
        <f t="shared" si="14"/>
        <v>0.48</v>
      </c>
      <c r="F38" s="132">
        <f t="shared" si="15"/>
        <v>21144.96</v>
      </c>
      <c r="G38" s="130">
        <f t="shared" si="0"/>
        <v>21145</v>
      </c>
      <c r="H38" s="131">
        <f>18000/C38/12</f>
        <v>0.40860800871697084</v>
      </c>
      <c r="I38" s="130">
        <f t="shared" si="53"/>
        <v>0.4</v>
      </c>
      <c r="J38" s="130">
        <f t="shared" si="17"/>
        <v>17620.800000000003</v>
      </c>
      <c r="K38" s="130">
        <f t="shared" si="18"/>
        <v>17621</v>
      </c>
      <c r="L38" s="232">
        <f t="shared" si="2"/>
        <v>0</v>
      </c>
      <c r="M38" s="167">
        <f t="shared" si="44"/>
        <v>0</v>
      </c>
      <c r="N38" s="130">
        <f t="shared" si="3"/>
        <v>0</v>
      </c>
      <c r="O38" s="130">
        <f t="shared" si="19"/>
        <v>0</v>
      </c>
      <c r="P38" s="232">
        <f>22000/C38/12</f>
        <v>0.4994097884318533</v>
      </c>
      <c r="Q38" s="132">
        <f t="shared" si="54"/>
        <v>0.5</v>
      </c>
      <c r="R38" s="131">
        <f t="shared" si="4"/>
        <v>22026</v>
      </c>
      <c r="S38" s="131">
        <f t="shared" si="21"/>
        <v>22026</v>
      </c>
      <c r="T38" s="232">
        <f t="shared" si="45"/>
        <v>0</v>
      </c>
      <c r="U38" s="132">
        <f t="shared" si="55"/>
        <v>0</v>
      </c>
      <c r="V38" s="121">
        <f t="shared" si="6"/>
        <v>0</v>
      </c>
      <c r="W38" s="132">
        <f t="shared" si="22"/>
        <v>0</v>
      </c>
      <c r="X38" s="232">
        <f>0/C38/12</f>
        <v>0</v>
      </c>
      <c r="Y38" s="132">
        <f t="shared" si="56"/>
        <v>0</v>
      </c>
      <c r="Z38" s="132">
        <f t="shared" si="8"/>
        <v>0</v>
      </c>
      <c r="AA38" s="132">
        <f t="shared" si="23"/>
        <v>0</v>
      </c>
      <c r="AB38" s="234">
        <f>6000/C38/12</f>
        <v>0.1362026695723236</v>
      </c>
      <c r="AC38" s="132">
        <f t="shared" si="24"/>
        <v>0.14</v>
      </c>
      <c r="AD38" s="130">
        <f t="shared" si="10"/>
        <v>6167.280000000001</v>
      </c>
      <c r="AE38" s="178">
        <f t="shared" si="25"/>
        <v>6167</v>
      </c>
      <c r="AF38" s="34">
        <f>5600/C38/12</f>
        <v>0.12712249160083539</v>
      </c>
      <c r="AG38" s="167">
        <f t="shared" si="57"/>
        <v>0.13</v>
      </c>
      <c r="AH38" s="218">
        <f t="shared" si="27"/>
        <v>5726.76</v>
      </c>
      <c r="AI38" s="34">
        <f t="shared" si="28"/>
        <v>5727</v>
      </c>
      <c r="AJ38" s="218">
        <f t="shared" si="58"/>
        <v>0.3405066739308091</v>
      </c>
      <c r="AK38" s="167">
        <f t="shared" si="30"/>
        <v>0.34</v>
      </c>
      <c r="AL38" s="218">
        <f t="shared" si="59"/>
        <v>14977.68</v>
      </c>
      <c r="AM38" s="218">
        <f t="shared" si="60"/>
        <v>14978</v>
      </c>
      <c r="AN38" s="218">
        <f>27000/C38/12</f>
        <v>0.6129120130754563</v>
      </c>
      <c r="AO38" s="167">
        <f t="shared" si="62"/>
        <v>0.61</v>
      </c>
      <c r="AP38" s="218">
        <f t="shared" si="63"/>
        <v>26871.72</v>
      </c>
      <c r="AQ38" s="218">
        <f t="shared" si="64"/>
        <v>26872</v>
      </c>
      <c r="AR38" s="218">
        <f t="shared" si="65"/>
        <v>0.227004449287206</v>
      </c>
      <c r="AS38" s="167">
        <f t="shared" si="48"/>
        <v>0.23</v>
      </c>
      <c r="AT38" s="218">
        <f t="shared" si="51"/>
        <v>10131.960000000001</v>
      </c>
      <c r="AU38" s="218">
        <f t="shared" si="49"/>
        <v>10132</v>
      </c>
      <c r="AV38" s="218">
        <f t="shared" si="37"/>
        <v>0</v>
      </c>
      <c r="AW38" s="218">
        <f t="shared" si="38"/>
        <v>0</v>
      </c>
      <c r="AX38" s="218">
        <f t="shared" si="39"/>
        <v>0</v>
      </c>
      <c r="AY38" s="218">
        <f t="shared" si="40"/>
        <v>0</v>
      </c>
      <c r="AZ38" s="196">
        <f t="shared" si="41"/>
        <v>2.83</v>
      </c>
      <c r="BA38" s="212">
        <f t="shared" si="42"/>
        <v>124667.16000000002</v>
      </c>
      <c r="BB38" s="281">
        <f t="shared" si="66"/>
        <v>124667</v>
      </c>
      <c r="BE38" s="245"/>
    </row>
    <row r="39" spans="1:57" ht="21" customHeight="1">
      <c r="A39" s="207">
        <v>25</v>
      </c>
      <c r="B39" s="279" t="s">
        <v>42</v>
      </c>
      <c r="C39" s="206">
        <v>3319.73</v>
      </c>
      <c r="D39" s="232">
        <f>15000/C39/12</f>
        <v>0.3765366460525404</v>
      </c>
      <c r="E39" s="132">
        <f t="shared" si="14"/>
        <v>0.38</v>
      </c>
      <c r="F39" s="132">
        <f t="shared" si="15"/>
        <v>15137.968799999999</v>
      </c>
      <c r="G39" s="130">
        <f t="shared" si="0"/>
        <v>15138</v>
      </c>
      <c r="H39" s="131">
        <f>15000/C39/12</f>
        <v>0.3765366460525404</v>
      </c>
      <c r="I39" s="130">
        <f t="shared" si="53"/>
        <v>0.4</v>
      </c>
      <c r="J39" s="130">
        <f t="shared" si="17"/>
        <v>15934.704000000002</v>
      </c>
      <c r="K39" s="130">
        <f t="shared" si="18"/>
        <v>15935</v>
      </c>
      <c r="L39" s="232">
        <f t="shared" si="2"/>
        <v>0</v>
      </c>
      <c r="M39" s="167">
        <f t="shared" si="44"/>
        <v>0</v>
      </c>
      <c r="N39" s="130">
        <f t="shared" si="3"/>
        <v>0</v>
      </c>
      <c r="O39" s="130">
        <f t="shared" si="19"/>
        <v>0</v>
      </c>
      <c r="P39" s="232">
        <f>18000/C39/12</f>
        <v>0.4518439752630485</v>
      </c>
      <c r="Q39" s="132">
        <f t="shared" si="54"/>
        <v>0.45</v>
      </c>
      <c r="R39" s="131">
        <f t="shared" si="4"/>
        <v>17926.542</v>
      </c>
      <c r="S39" s="131">
        <f t="shared" si="21"/>
        <v>17927</v>
      </c>
      <c r="T39" s="232">
        <f t="shared" si="45"/>
        <v>0</v>
      </c>
      <c r="U39" s="132">
        <f t="shared" si="55"/>
        <v>0</v>
      </c>
      <c r="V39" s="121">
        <f t="shared" si="6"/>
        <v>0</v>
      </c>
      <c r="W39" s="132">
        <f t="shared" si="22"/>
        <v>0</v>
      </c>
      <c r="X39" s="232">
        <f>38700/C39/12</f>
        <v>0.9714645468155543</v>
      </c>
      <c r="Y39" s="132">
        <f t="shared" si="56"/>
        <v>0.97</v>
      </c>
      <c r="Z39" s="132">
        <f t="shared" si="8"/>
        <v>38641.6572</v>
      </c>
      <c r="AA39" s="132">
        <f t="shared" si="23"/>
        <v>38642</v>
      </c>
      <c r="AB39" s="234">
        <f>6000/C39/12</f>
        <v>0.15061465842101615</v>
      </c>
      <c r="AC39" s="132">
        <f t="shared" si="24"/>
        <v>0.15</v>
      </c>
      <c r="AD39" s="130">
        <f t="shared" si="10"/>
        <v>5975.514</v>
      </c>
      <c r="AE39" s="178">
        <f t="shared" si="25"/>
        <v>5976</v>
      </c>
      <c r="AF39" s="34">
        <f>3500/C39/12</f>
        <v>0.08785855074559278</v>
      </c>
      <c r="AG39" s="167">
        <f t="shared" si="57"/>
        <v>0.09</v>
      </c>
      <c r="AH39" s="218">
        <f t="shared" si="27"/>
        <v>3585.3084</v>
      </c>
      <c r="AI39" s="34">
        <f t="shared" si="28"/>
        <v>3585</v>
      </c>
      <c r="AJ39" s="218">
        <f t="shared" si="58"/>
        <v>0.3765366460525404</v>
      </c>
      <c r="AK39" s="167">
        <f t="shared" si="30"/>
        <v>0.38</v>
      </c>
      <c r="AL39" s="218">
        <f t="shared" si="59"/>
        <v>15137.968799999999</v>
      </c>
      <c r="AM39" s="218">
        <f t="shared" si="60"/>
        <v>15138</v>
      </c>
      <c r="AN39" s="218">
        <f t="shared" si="61"/>
        <v>0</v>
      </c>
      <c r="AO39" s="167">
        <f t="shared" si="62"/>
        <v>0</v>
      </c>
      <c r="AP39" s="218">
        <f t="shared" si="63"/>
        <v>0</v>
      </c>
      <c r="AQ39" s="218">
        <f t="shared" si="64"/>
        <v>0</v>
      </c>
      <c r="AR39" s="218">
        <f t="shared" si="65"/>
        <v>0.2510244307016936</v>
      </c>
      <c r="AS39" s="167">
        <f t="shared" si="48"/>
        <v>0.25</v>
      </c>
      <c r="AT39" s="218">
        <f t="shared" si="51"/>
        <v>9959.19</v>
      </c>
      <c r="AU39" s="218">
        <f t="shared" si="49"/>
        <v>9959</v>
      </c>
      <c r="AV39" s="218">
        <f t="shared" si="37"/>
        <v>0</v>
      </c>
      <c r="AW39" s="218">
        <f t="shared" si="38"/>
        <v>0</v>
      </c>
      <c r="AX39" s="218">
        <f t="shared" si="39"/>
        <v>0</v>
      </c>
      <c r="AY39" s="218">
        <f t="shared" si="40"/>
        <v>0</v>
      </c>
      <c r="AZ39" s="196">
        <f t="shared" si="41"/>
        <v>3.07</v>
      </c>
      <c r="BA39" s="212">
        <f t="shared" si="42"/>
        <v>122298.8532</v>
      </c>
      <c r="BB39" s="281">
        <f t="shared" si="66"/>
        <v>122299</v>
      </c>
      <c r="BE39" s="245"/>
    </row>
    <row r="40" spans="1:57" ht="21" customHeight="1">
      <c r="A40" s="182"/>
      <c r="B40" s="182"/>
      <c r="C40" s="183">
        <f>SUM(C15:C39)</f>
        <v>76716.06999999999</v>
      </c>
      <c r="D40" s="230"/>
      <c r="E40" s="231"/>
      <c r="F40" s="181">
        <f>SUM(F15:F39)</f>
        <v>381450.78959999996</v>
      </c>
      <c r="G40" s="181">
        <f>SUM(G15:G39)</f>
        <v>381451</v>
      </c>
      <c r="H40" s="208"/>
      <c r="I40" s="181"/>
      <c r="J40" s="181">
        <f>SUM(J16:J39)</f>
        <v>171799.4676</v>
      </c>
      <c r="K40" s="181">
        <f>SUM(K15:K39)</f>
        <v>171800</v>
      </c>
      <c r="L40" s="183"/>
      <c r="M40" s="209"/>
      <c r="N40" s="181">
        <f>SUM(N15:N39)</f>
        <v>100270.08480000001</v>
      </c>
      <c r="O40" s="181">
        <f>SUM(O15:O39)</f>
        <v>100270</v>
      </c>
      <c r="P40" s="208"/>
      <c r="Q40" s="208"/>
      <c r="R40" s="208">
        <f>SUM(R15:R39)</f>
        <v>194256.6804</v>
      </c>
      <c r="S40" s="208">
        <f>SUM(S15:S39)</f>
        <v>194256</v>
      </c>
      <c r="T40" s="208"/>
      <c r="U40" s="210"/>
      <c r="V40" s="183">
        <f>SUM(V15:V39)</f>
        <v>688297.3188</v>
      </c>
      <c r="W40" s="181">
        <f>SUM(W15:W39)</f>
        <v>688297</v>
      </c>
      <c r="X40" s="208"/>
      <c r="Y40" s="208"/>
      <c r="Z40" s="181">
        <f>SUM(Z15:Z39)</f>
        <v>805502.7684</v>
      </c>
      <c r="AA40" s="181">
        <f>SUM(AA15:AA39)</f>
        <v>805500</v>
      </c>
      <c r="AB40" s="163"/>
      <c r="AC40" s="182"/>
      <c r="AD40" s="208">
        <f>SUM(AD15:AD39)</f>
        <v>194344.338</v>
      </c>
      <c r="AE40" s="208">
        <f t="shared" si="25"/>
        <v>194344</v>
      </c>
      <c r="AF40" s="182"/>
      <c r="AG40" s="182"/>
      <c r="AH40" s="235">
        <f>SUM(AH15:AH39)</f>
        <v>124974.05759999999</v>
      </c>
      <c r="AI40" s="182">
        <f>SUM(AI15:AI39)</f>
        <v>124974</v>
      </c>
      <c r="AJ40" s="182"/>
      <c r="AK40" s="182"/>
      <c r="AL40" s="235">
        <f>SUM(AL15:AL39)</f>
        <v>374352.63119999995</v>
      </c>
      <c r="AM40" s="235">
        <f>SUM(AM15:AM39)</f>
        <v>374351</v>
      </c>
      <c r="AN40" s="182"/>
      <c r="AO40" s="182"/>
      <c r="AP40" s="235">
        <f>SUM(AP15:AP39)</f>
        <v>171050.5764</v>
      </c>
      <c r="AQ40" s="182">
        <f t="shared" si="64"/>
        <v>171051</v>
      </c>
      <c r="AR40" s="182"/>
      <c r="AS40" s="182"/>
      <c r="AT40" s="235">
        <f>SUM(AT15:AT39)</f>
        <v>250001.25960000002</v>
      </c>
      <c r="AU40" s="235">
        <f>SUM(AU15:AU39)</f>
        <v>250001</v>
      </c>
      <c r="AV40" s="235"/>
      <c r="AW40" s="235"/>
      <c r="AX40" s="235">
        <f>SUM(AX15:AX39)</f>
        <v>60081.263999999996</v>
      </c>
      <c r="AY40" s="235">
        <f t="shared" si="40"/>
        <v>60081</v>
      </c>
      <c r="AZ40" s="235"/>
      <c r="BA40" s="258">
        <f>SUM(BA15:BA39)</f>
        <v>3516381.2364</v>
      </c>
      <c r="BB40" s="282">
        <f>SUM(BB15:BB39)</f>
        <v>3516382</v>
      </c>
      <c r="BE40" s="245"/>
    </row>
    <row r="41" spans="1:54" ht="16.5" customHeight="1">
      <c r="A41" s="180"/>
      <c r="B41" s="180"/>
      <c r="C41" s="165"/>
      <c r="D41" s="165"/>
      <c r="E41" s="179"/>
      <c r="F41" s="179"/>
      <c r="G41" s="179"/>
      <c r="H41" s="184"/>
      <c r="I41" s="179"/>
      <c r="J41" s="179"/>
      <c r="K41" s="179"/>
      <c r="L41" s="165"/>
      <c r="M41" s="203"/>
      <c r="N41" s="179"/>
      <c r="O41" s="179"/>
      <c r="P41" s="184"/>
      <c r="Q41" s="184"/>
      <c r="R41" s="184"/>
      <c r="S41" s="184"/>
      <c r="T41" s="184"/>
      <c r="U41" s="204"/>
      <c r="V41" s="184"/>
      <c r="W41" s="179"/>
      <c r="X41" s="184"/>
      <c r="Y41" s="184"/>
      <c r="Z41" s="179"/>
      <c r="AA41" s="179"/>
      <c r="AB41" s="180"/>
      <c r="AC41" s="180"/>
      <c r="AD41" s="184"/>
      <c r="AE41" s="184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259"/>
      <c r="BB41" s="283"/>
    </row>
    <row r="42" spans="21:54" ht="12.75">
      <c r="U42" s="237"/>
      <c r="V42" s="237"/>
      <c r="W42" s="237"/>
      <c r="X42" s="237"/>
      <c r="Y42" s="237"/>
      <c r="BA42" s="214"/>
      <c r="BB42" s="214"/>
    </row>
    <row r="43" spans="1:54" ht="12.75">
      <c r="A43" s="405"/>
      <c r="B43" s="406"/>
      <c r="C43" s="406"/>
      <c r="BA43" s="214"/>
      <c r="BB43" s="214"/>
    </row>
    <row r="44" spans="1:54" ht="12.75">
      <c r="A44" s="406"/>
      <c r="B44" s="406"/>
      <c r="C44" s="406"/>
      <c r="BA44" s="214"/>
      <c r="BB44" s="214"/>
    </row>
    <row r="45" spans="53:54" ht="12.75">
      <c r="BA45" s="214"/>
      <c r="BB45" s="214"/>
    </row>
    <row r="46" spans="53:54" ht="12.75">
      <c r="BA46" s="214"/>
      <c r="BB46" s="214"/>
    </row>
    <row r="47" spans="1:54" ht="12.75">
      <c r="A47" s="397" t="s">
        <v>106</v>
      </c>
      <c r="B47" s="398"/>
      <c r="C47" s="398"/>
      <c r="BA47" s="214"/>
      <c r="BB47" s="214"/>
    </row>
    <row r="48" spans="1:54" ht="12.75">
      <c r="A48" s="398"/>
      <c r="B48" s="398"/>
      <c r="C48" s="398"/>
      <c r="E48" s="211"/>
      <c r="BA48" s="214"/>
      <c r="BB48" s="214"/>
    </row>
    <row r="49" spans="53:54" ht="12.75">
      <c r="BA49" s="214"/>
      <c r="BB49" s="214"/>
    </row>
    <row r="50" spans="6:54" ht="12.75">
      <c r="F50" s="407"/>
      <c r="G50" s="407"/>
      <c r="H50" s="407"/>
      <c r="I50" s="407"/>
      <c r="J50" s="407"/>
      <c r="K50" s="407"/>
      <c r="L50" s="407"/>
      <c r="M50" s="407"/>
      <c r="N50" s="407"/>
      <c r="BA50" s="214"/>
      <c r="BB50" s="214"/>
    </row>
    <row r="51" spans="53:54" ht="12.75">
      <c r="BA51" s="214"/>
      <c r="BB51" s="214"/>
    </row>
  </sheetData>
  <mergeCells count="10">
    <mergeCell ref="A43:C44"/>
    <mergeCell ref="F50:N50"/>
    <mergeCell ref="A5:B5"/>
    <mergeCell ref="A8:BA8"/>
    <mergeCell ref="A9:BA9"/>
    <mergeCell ref="A12:A14"/>
    <mergeCell ref="B12:B14"/>
    <mergeCell ref="C12:C14"/>
    <mergeCell ref="D12:BA12"/>
    <mergeCell ref="A47:C48"/>
  </mergeCells>
  <printOptions/>
  <pageMargins left="0.16" right="0.16" top="0.15" bottom="0.15" header="0.15" footer="0.18"/>
  <pageSetup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V45"/>
  <sheetViews>
    <sheetView workbookViewId="0" topLeftCell="A9">
      <pane xSplit="4" ySplit="3" topLeftCell="AV12" activePane="bottomRight" state="frozen"/>
      <selection pane="topLeft" activeCell="A9" sqref="A9"/>
      <selection pane="topRight" activeCell="E9" sqref="E9"/>
      <selection pane="bottomLeft" activeCell="A12" sqref="A12"/>
      <selection pane="bottomRight" activeCell="N28" sqref="N28"/>
    </sheetView>
  </sheetViews>
  <sheetFormatPr defaultColWidth="9.140625" defaultRowHeight="12.75"/>
  <cols>
    <col min="1" max="1" width="2.421875" style="0" customWidth="1"/>
    <col min="2" max="2" width="16.421875" style="0" customWidth="1"/>
    <col min="3" max="3" width="8.7109375" style="0" customWidth="1"/>
    <col min="4" max="4" width="9.140625" style="0" hidden="1" customWidth="1"/>
    <col min="5" max="5" width="9.28125" style="0" bestFit="1" customWidth="1"/>
    <col min="7" max="7" width="9.28125" style="0" hidden="1" customWidth="1"/>
    <col min="8" max="8" width="9.140625" style="0" hidden="1" customWidth="1"/>
    <col min="9" max="9" width="9.28125" style="0" customWidth="1"/>
    <col min="11" max="11" width="9.28125" style="0" hidden="1" customWidth="1"/>
    <col min="12" max="12" width="9.140625" style="0" hidden="1" customWidth="1"/>
    <col min="13" max="13" width="9.28125" style="0" customWidth="1"/>
    <col min="15" max="15" width="9.28125" style="0" hidden="1" customWidth="1"/>
    <col min="16" max="16" width="9.140625" style="0" hidden="1" customWidth="1"/>
    <col min="17" max="17" width="9.28125" style="0" customWidth="1"/>
    <col min="19" max="19" width="9.28125" style="0" hidden="1" customWidth="1"/>
    <col min="20" max="20" width="9.140625" style="0" hidden="1" customWidth="1"/>
    <col min="21" max="21" width="9.28125" style="0" customWidth="1"/>
    <col min="23" max="23" width="10.140625" style="0" hidden="1" customWidth="1"/>
    <col min="24" max="24" width="9.140625" style="0" hidden="1" customWidth="1"/>
    <col min="25" max="25" width="9.28125" style="0" customWidth="1"/>
    <col min="27" max="27" width="9.7109375" style="0" hidden="1" customWidth="1"/>
    <col min="28" max="28" width="9.140625" style="0" hidden="1" customWidth="1"/>
    <col min="29" max="29" width="13.7109375" style="0" customWidth="1"/>
    <col min="31" max="31" width="9.421875" style="0" hidden="1" customWidth="1"/>
    <col min="32" max="32" width="9.140625" style="0" hidden="1" customWidth="1"/>
    <col min="33" max="33" width="9.421875" style="0" bestFit="1" customWidth="1"/>
    <col min="34" max="34" width="10.140625" style="0" customWidth="1"/>
    <col min="35" max="35" width="9.421875" style="0" hidden="1" customWidth="1"/>
    <col min="36" max="36" width="9.140625" style="0" hidden="1" customWidth="1"/>
    <col min="37" max="37" width="9.421875" style="0" bestFit="1" customWidth="1"/>
    <col min="39" max="39" width="9.28125" style="0" hidden="1" customWidth="1"/>
    <col min="40" max="40" width="0" style="0" hidden="1" customWidth="1"/>
    <col min="41" max="41" width="9.28125" style="0" bestFit="1" customWidth="1"/>
    <col min="43" max="43" width="9.28125" style="0" hidden="1" customWidth="1"/>
    <col min="44" max="44" width="9.140625" style="0" hidden="1" customWidth="1"/>
    <col min="45" max="45" width="9.28125" style="0" bestFit="1" customWidth="1"/>
    <col min="47" max="47" width="9.28125" style="0" hidden="1" customWidth="1"/>
    <col min="48" max="48" width="9.28125" style="0" bestFit="1" customWidth="1"/>
    <col min="49" max="49" width="12.00390625" style="0" customWidth="1"/>
    <col min="50" max="50" width="10.140625" style="0" bestFit="1" customWidth="1"/>
    <col min="51" max="51" width="10.140625" style="0" customWidth="1"/>
    <col min="52" max="52" width="11.7109375" style="0" bestFit="1" customWidth="1"/>
    <col min="53" max="53" width="10.140625" style="0" bestFit="1" customWidth="1"/>
    <col min="54" max="54" width="10.57421875" style="0" bestFit="1" customWidth="1"/>
  </cols>
  <sheetData>
    <row r="3" spans="1:51" ht="12.75">
      <c r="A3" s="133" t="s">
        <v>81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73"/>
      <c r="N3" s="133"/>
      <c r="O3" s="133"/>
      <c r="P3" s="133"/>
      <c r="Q3" s="133"/>
      <c r="R3" s="133"/>
      <c r="S3" s="133"/>
      <c r="T3" s="133"/>
      <c r="U3" s="175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</row>
    <row r="4" spans="1:51" ht="12.75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73"/>
      <c r="N4" s="133"/>
      <c r="O4" s="133"/>
      <c r="P4" s="133"/>
      <c r="Q4" s="133"/>
      <c r="R4" s="133"/>
      <c r="S4" s="133"/>
      <c r="T4" s="133"/>
      <c r="U4" s="175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</row>
    <row r="5" spans="1:51" ht="12.75">
      <c r="A5" s="399" t="s">
        <v>91</v>
      </c>
      <c r="B5" s="399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73"/>
      <c r="N5" s="133"/>
      <c r="O5" s="133"/>
      <c r="P5" s="133"/>
      <c r="Q5" s="133"/>
      <c r="R5" s="133"/>
      <c r="S5" s="133"/>
      <c r="T5" s="133"/>
      <c r="U5" s="175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</row>
    <row r="6" spans="1:51" ht="14.25">
      <c r="A6" s="411" t="s">
        <v>110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223"/>
    </row>
    <row r="7" spans="1:74" ht="14.2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</row>
    <row r="8" spans="1:53" ht="14.25">
      <c r="A8" s="412" t="s">
        <v>109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246"/>
      <c r="BA8" s="237"/>
    </row>
    <row r="9" spans="1:53" ht="12.75">
      <c r="A9" s="401" t="s">
        <v>1</v>
      </c>
      <c r="B9" s="401" t="s">
        <v>2</v>
      </c>
      <c r="C9" s="401" t="s">
        <v>63</v>
      </c>
      <c r="D9" s="402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4"/>
      <c r="AY9" s="247"/>
      <c r="AZ9" s="252"/>
      <c r="BA9" s="237"/>
    </row>
    <row r="10" spans="1:53" ht="108">
      <c r="A10" s="401"/>
      <c r="B10" s="401"/>
      <c r="C10" s="401"/>
      <c r="D10" s="215" t="s">
        <v>8</v>
      </c>
      <c r="E10" s="185" t="s">
        <v>8</v>
      </c>
      <c r="F10" s="134" t="s">
        <v>72</v>
      </c>
      <c r="G10" s="134" t="s">
        <v>72</v>
      </c>
      <c r="H10" s="129" t="s">
        <v>90</v>
      </c>
      <c r="I10" s="202" t="s">
        <v>90</v>
      </c>
      <c r="J10" s="134" t="s">
        <v>72</v>
      </c>
      <c r="K10" s="134" t="s">
        <v>72</v>
      </c>
      <c r="L10" s="129" t="s">
        <v>11</v>
      </c>
      <c r="M10" s="187" t="s">
        <v>11</v>
      </c>
      <c r="N10" s="134" t="s">
        <v>72</v>
      </c>
      <c r="O10" s="134" t="s">
        <v>72</v>
      </c>
      <c r="P10" s="129" t="s">
        <v>12</v>
      </c>
      <c r="Q10" s="185" t="s">
        <v>101</v>
      </c>
      <c r="R10" s="134" t="s">
        <v>72</v>
      </c>
      <c r="S10" s="134" t="s">
        <v>72</v>
      </c>
      <c r="T10" s="129" t="s">
        <v>13</v>
      </c>
      <c r="U10" s="189" t="s">
        <v>13</v>
      </c>
      <c r="V10" s="135" t="s">
        <v>72</v>
      </c>
      <c r="W10" s="135" t="s">
        <v>72</v>
      </c>
      <c r="X10" s="129" t="s">
        <v>14</v>
      </c>
      <c r="Y10" s="185" t="s">
        <v>14</v>
      </c>
      <c r="Z10" s="134" t="s">
        <v>72</v>
      </c>
      <c r="AA10" s="134" t="s">
        <v>72</v>
      </c>
      <c r="AB10" s="225" t="s">
        <v>98</v>
      </c>
      <c r="AC10" s="191" t="s">
        <v>99</v>
      </c>
      <c r="AD10" s="134" t="s">
        <v>72</v>
      </c>
      <c r="AE10" s="176" t="s">
        <v>72</v>
      </c>
      <c r="AF10" s="171" t="s">
        <v>96</v>
      </c>
      <c r="AG10" s="271" t="s">
        <v>100</v>
      </c>
      <c r="AH10" s="134" t="s">
        <v>72</v>
      </c>
      <c r="AI10" s="176" t="s">
        <v>72</v>
      </c>
      <c r="AJ10" s="170" t="s">
        <v>95</v>
      </c>
      <c r="AK10" s="192" t="str">
        <f>AJ10</f>
        <v>Приобретение  приборов учета</v>
      </c>
      <c r="AL10" s="134" t="s">
        <v>72</v>
      </c>
      <c r="AM10" s="134" t="s">
        <v>72</v>
      </c>
      <c r="AN10" s="170" t="s">
        <v>97</v>
      </c>
      <c r="AO10" s="192" t="str">
        <f>AN10</f>
        <v>ремонт изодяции</v>
      </c>
      <c r="AP10" s="134" t="s">
        <v>72</v>
      </c>
      <c r="AQ10" s="134" t="s">
        <v>72</v>
      </c>
      <c r="AR10" s="134" t="s">
        <v>105</v>
      </c>
      <c r="AS10" s="278" t="s">
        <v>105</v>
      </c>
      <c r="AT10" s="134" t="s">
        <v>72</v>
      </c>
      <c r="AU10" s="134" t="s">
        <v>72</v>
      </c>
      <c r="AV10" s="228" t="s">
        <v>89</v>
      </c>
      <c r="AW10" s="134" t="s">
        <v>72</v>
      </c>
      <c r="AX10" s="134" t="s">
        <v>72</v>
      </c>
      <c r="AY10" s="248"/>
      <c r="AZ10" s="252"/>
      <c r="BA10" s="237"/>
    </row>
    <row r="11" spans="1:53" ht="45.75">
      <c r="A11" s="401"/>
      <c r="B11" s="401"/>
      <c r="C11" s="401"/>
      <c r="D11" s="172" t="s">
        <v>15</v>
      </c>
      <c r="E11" s="186" t="s">
        <v>15</v>
      </c>
      <c r="F11" s="134" t="s">
        <v>84</v>
      </c>
      <c r="G11" s="134" t="s">
        <v>84</v>
      </c>
      <c r="H11" s="125"/>
      <c r="I11" s="185" t="s">
        <v>15</v>
      </c>
      <c r="J11" s="134" t="s">
        <v>84</v>
      </c>
      <c r="K11" s="134" t="s">
        <v>84</v>
      </c>
      <c r="L11" s="125"/>
      <c r="M11" s="188" t="s">
        <v>15</v>
      </c>
      <c r="N11" s="134" t="s">
        <v>84</v>
      </c>
      <c r="O11" s="134" t="s">
        <v>84</v>
      </c>
      <c r="P11" s="125"/>
      <c r="Q11" s="188" t="s">
        <v>15</v>
      </c>
      <c r="R11" s="134" t="s">
        <v>84</v>
      </c>
      <c r="S11" s="134" t="s">
        <v>84</v>
      </c>
      <c r="T11" s="125"/>
      <c r="U11" s="190" t="s">
        <v>15</v>
      </c>
      <c r="V11" s="134" t="s">
        <v>84</v>
      </c>
      <c r="W11" s="134" t="s">
        <v>84</v>
      </c>
      <c r="X11" s="125"/>
      <c r="Y11" s="188" t="s">
        <v>15</v>
      </c>
      <c r="Z11" s="134" t="s">
        <v>15</v>
      </c>
      <c r="AA11" s="134" t="s">
        <v>84</v>
      </c>
      <c r="AB11" s="166" t="s">
        <v>15</v>
      </c>
      <c r="AC11" s="174" t="s">
        <v>15</v>
      </c>
      <c r="AD11" s="164" t="s">
        <v>84</v>
      </c>
      <c r="AE11" s="177" t="s">
        <v>84</v>
      </c>
      <c r="AF11" s="166" t="s">
        <v>15</v>
      </c>
      <c r="AG11" s="174" t="s">
        <v>15</v>
      </c>
      <c r="AH11" s="164" t="s">
        <v>84</v>
      </c>
      <c r="AI11" s="177" t="s">
        <v>84</v>
      </c>
      <c r="AJ11" s="168" t="s">
        <v>15</v>
      </c>
      <c r="AK11" s="193" t="s">
        <v>15</v>
      </c>
      <c r="AL11" s="164" t="s">
        <v>84</v>
      </c>
      <c r="AM11" s="164" t="s">
        <v>84</v>
      </c>
      <c r="AN11" s="168" t="s">
        <v>15</v>
      </c>
      <c r="AO11" s="193" t="s">
        <v>15</v>
      </c>
      <c r="AP11" s="164" t="s">
        <v>84</v>
      </c>
      <c r="AQ11" s="164" t="s">
        <v>84</v>
      </c>
      <c r="AR11" s="193" t="s">
        <v>15</v>
      </c>
      <c r="AS11" s="229" t="s">
        <v>15</v>
      </c>
      <c r="AT11" s="164" t="s">
        <v>84</v>
      </c>
      <c r="AU11" s="164" t="s">
        <v>84</v>
      </c>
      <c r="AV11" s="229" t="s">
        <v>15</v>
      </c>
      <c r="AW11" s="164" t="s">
        <v>84</v>
      </c>
      <c r="AX11" s="164" t="s">
        <v>84</v>
      </c>
      <c r="AY11" s="249"/>
      <c r="AZ11" s="252"/>
      <c r="BA11" s="237"/>
    </row>
    <row r="12" spans="1:54" ht="15" customHeight="1">
      <c r="A12" s="238">
        <v>1</v>
      </c>
      <c r="B12" s="127" t="s">
        <v>43</v>
      </c>
      <c r="C12" s="227">
        <v>3345.2</v>
      </c>
      <c r="D12" s="122">
        <f>20000/C12/12</f>
        <v>0.4982263143210172</v>
      </c>
      <c r="E12" s="132">
        <f>ROUND(D12,2)</f>
        <v>0.5</v>
      </c>
      <c r="F12" s="132">
        <f>E12*C12*12</f>
        <v>20071.199999999997</v>
      </c>
      <c r="G12" s="132">
        <f aca="true" t="shared" si="0" ref="G12:G36">ROUND(F12,0)</f>
        <v>20071</v>
      </c>
      <c r="H12" s="232">
        <f>0/C12/12</f>
        <v>0</v>
      </c>
      <c r="I12" s="132">
        <f>ROUND(H12,2)</f>
        <v>0</v>
      </c>
      <c r="J12" s="132">
        <f aca="true" t="shared" si="1" ref="J12:J36">I12*C12*12</f>
        <v>0</v>
      </c>
      <c r="K12" s="130">
        <f>ROUND(J12,0)</f>
        <v>0</v>
      </c>
      <c r="L12" s="121">
        <f aca="true" t="shared" si="2" ref="L12:L35">0/C12/12</f>
        <v>0</v>
      </c>
      <c r="M12" s="167">
        <f aca="true" t="shared" si="3" ref="M12:M36">ROUND(L12,2)</f>
        <v>0</v>
      </c>
      <c r="N12" s="130">
        <f aca="true" t="shared" si="4" ref="N12:N36">M12*C12*12</f>
        <v>0</v>
      </c>
      <c r="O12" s="132">
        <f>ROUND(N12,0)</f>
        <v>0</v>
      </c>
      <c r="P12" s="121">
        <f>0/C12/12</f>
        <v>0</v>
      </c>
      <c r="Q12" s="132">
        <f>ROUND(P12,2)</f>
        <v>0</v>
      </c>
      <c r="R12" s="131">
        <f aca="true" t="shared" si="5" ref="R12:R36">Q12*C12*12</f>
        <v>0</v>
      </c>
      <c r="S12" s="121">
        <f>ROUND(R12,0)</f>
        <v>0</v>
      </c>
      <c r="T12" s="121">
        <f>0/C12/12</f>
        <v>0</v>
      </c>
      <c r="U12" s="132">
        <f>ROUND(T12,2)</f>
        <v>0</v>
      </c>
      <c r="V12" s="131">
        <f aca="true" t="shared" si="6" ref="V12:V36">U12*C12*12</f>
        <v>0</v>
      </c>
      <c r="W12" s="132">
        <f>ROUND(V12,0)</f>
        <v>0</v>
      </c>
      <c r="X12" s="121">
        <f>0/C12/12</f>
        <v>0</v>
      </c>
      <c r="Y12" s="132">
        <f>ROUND(X12,2)</f>
        <v>0</v>
      </c>
      <c r="Z12" s="130">
        <f aca="true" t="shared" si="7" ref="Z12:Z36">Y12*C12*12</f>
        <v>0</v>
      </c>
      <c r="AA12" s="132">
        <f>ROUND(Z12,0)</f>
        <v>0</v>
      </c>
      <c r="AB12" s="167">
        <f>10000/C12/12</f>
        <v>0.2491131571605086</v>
      </c>
      <c r="AC12" s="132">
        <f>ROUND(AB12,2)</f>
        <v>0.25</v>
      </c>
      <c r="AD12" s="132">
        <f aca="true" t="shared" si="8" ref="AD12:AD36">AC12*C12*12</f>
        <v>10035.599999999999</v>
      </c>
      <c r="AE12" s="226">
        <f>ROUND(AD12,0)</f>
        <v>10036</v>
      </c>
      <c r="AF12" s="167">
        <f>23000/C12/12</f>
        <v>0.5729602614691698</v>
      </c>
      <c r="AG12" s="132">
        <f>ROUND(AF12,2)</f>
        <v>0.57</v>
      </c>
      <c r="AH12" s="132">
        <f>AG12*C12*12</f>
        <v>22881.167999999998</v>
      </c>
      <c r="AI12" s="178">
        <f>ROUND(AH12,0)</f>
        <v>22881</v>
      </c>
      <c r="AJ12" s="221">
        <f>15000/C12/12</f>
        <v>0.37366973574076295</v>
      </c>
      <c r="AK12" s="167">
        <f>ROUND(AJ12,2)</f>
        <v>0.37</v>
      </c>
      <c r="AL12" s="218">
        <f aca="true" t="shared" si="9" ref="AL12:AL36">AK12*C12*12</f>
        <v>14852.687999999998</v>
      </c>
      <c r="AM12" s="218">
        <f>ROUND(AL12,0)</f>
        <v>14853</v>
      </c>
      <c r="AN12" s="221">
        <f>35000/C12/12</f>
        <v>0.8718960500617801</v>
      </c>
      <c r="AO12" s="167">
        <f>ROUND(AN12,2)</f>
        <v>0.87</v>
      </c>
      <c r="AP12" s="218">
        <f>AO12*C12*12</f>
        <v>34923.88799999999</v>
      </c>
      <c r="AQ12" s="218">
        <f>ROUND(AP12,0)</f>
        <v>34924</v>
      </c>
      <c r="AR12" s="221">
        <f>3900/C12/12</f>
        <v>0.09715413129259835</v>
      </c>
      <c r="AS12" s="167">
        <f>ROUND(AR12,2)</f>
        <v>0.1</v>
      </c>
      <c r="AT12" s="218">
        <f>AS12*C12*12</f>
        <v>4014.24</v>
      </c>
      <c r="AU12" s="218">
        <f>ROUND(AT12,0)</f>
        <v>4014</v>
      </c>
      <c r="AV12" s="200">
        <f>E12+I12+M12+Q12+U12+Y12+AC12+AG12+AK12+AO12+AS12</f>
        <v>2.66</v>
      </c>
      <c r="AW12" s="257">
        <f>F12+J12+N12+R12+V12+Z12+AD12+AH12+AL12+AP12+AT12</f>
        <v>106778.78399999999</v>
      </c>
      <c r="AX12" s="122">
        <f>ROUND(AW12,0)</f>
        <v>106779</v>
      </c>
      <c r="AY12" s="250"/>
      <c r="AZ12" s="253"/>
      <c r="BA12" s="256"/>
      <c r="BB12" s="244"/>
    </row>
    <row r="13" spans="1:54" ht="15" customHeight="1">
      <c r="A13" s="238">
        <v>2</v>
      </c>
      <c r="B13" s="126" t="s">
        <v>44</v>
      </c>
      <c r="C13" s="132">
        <v>3349.57</v>
      </c>
      <c r="D13" s="122">
        <f aca="true" t="shared" si="10" ref="D13:D34">0/C13/12</f>
        <v>0</v>
      </c>
      <c r="E13" s="132">
        <f aca="true" t="shared" si="11" ref="E13:E36">ROUND(D13,2)</f>
        <v>0</v>
      </c>
      <c r="F13" s="132">
        <f>E13*C13*12</f>
        <v>0</v>
      </c>
      <c r="G13" s="132">
        <f t="shared" si="0"/>
        <v>0</v>
      </c>
      <c r="H13" s="232">
        <f aca="true" t="shared" si="12" ref="H13:H36">0/C13/12</f>
        <v>0</v>
      </c>
      <c r="I13" s="132">
        <f aca="true" t="shared" si="13" ref="I13:I36">ROUND(H13,1)</f>
        <v>0</v>
      </c>
      <c r="J13" s="132">
        <f t="shared" si="1"/>
        <v>0</v>
      </c>
      <c r="K13" s="130">
        <f aca="true" t="shared" si="14" ref="K13:K36">ROUND(J13,0)</f>
        <v>0</v>
      </c>
      <c r="L13" s="121">
        <f t="shared" si="2"/>
        <v>0</v>
      </c>
      <c r="M13" s="167">
        <f t="shared" si="3"/>
        <v>0</v>
      </c>
      <c r="N13" s="130">
        <f t="shared" si="4"/>
        <v>0</v>
      </c>
      <c r="O13" s="132">
        <f aca="true" t="shared" si="15" ref="O13:O36">ROUND(N13,0)</f>
        <v>0</v>
      </c>
      <c r="P13" s="121">
        <f aca="true" t="shared" si="16" ref="P13:P36">0/C13/12</f>
        <v>0</v>
      </c>
      <c r="Q13" s="132">
        <f>ROUND(P13,2)</f>
        <v>0</v>
      </c>
      <c r="R13" s="131">
        <f t="shared" si="5"/>
        <v>0</v>
      </c>
      <c r="S13" s="121">
        <f aca="true" t="shared" si="17" ref="S13:S36">ROUND(R13,0)</f>
        <v>0</v>
      </c>
      <c r="T13" s="121">
        <f>0/C13/12</f>
        <v>0</v>
      </c>
      <c r="U13" s="132">
        <f>ROUND(T13,1)</f>
        <v>0</v>
      </c>
      <c r="V13" s="131">
        <f t="shared" si="6"/>
        <v>0</v>
      </c>
      <c r="W13" s="132">
        <f aca="true" t="shared" si="18" ref="W13:W36">ROUND(V13,0)</f>
        <v>0</v>
      </c>
      <c r="X13" s="121">
        <f>28000/C13/12</f>
        <v>0.6966068281401294</v>
      </c>
      <c r="Y13" s="132">
        <f aca="true" t="shared" si="19" ref="Y13:Y36">ROUND(X13,2)</f>
        <v>0.7</v>
      </c>
      <c r="Z13" s="130">
        <f t="shared" si="7"/>
        <v>28136.388</v>
      </c>
      <c r="AA13" s="132">
        <f aca="true" t="shared" si="20" ref="AA13:AA36">ROUND(Z13,0)</f>
        <v>28136</v>
      </c>
      <c r="AB13" s="167">
        <f>10000/C13/12</f>
        <v>0.24878815290718906</v>
      </c>
      <c r="AC13" s="132">
        <f aca="true" t="shared" si="21" ref="AC13:AC36">ROUND(AB13,2)</f>
        <v>0.25</v>
      </c>
      <c r="AD13" s="132">
        <f t="shared" si="8"/>
        <v>10048.710000000001</v>
      </c>
      <c r="AE13" s="226">
        <f aca="true" t="shared" si="22" ref="AE13:AE37">ROUND(AD13,0)</f>
        <v>10049</v>
      </c>
      <c r="AF13" s="167">
        <f>29000/C13/12</f>
        <v>0.7214856434308482</v>
      </c>
      <c r="AG13" s="132">
        <f aca="true" t="shared" si="23" ref="AG13:AG36">ROUND(AF13,2)</f>
        <v>0.72</v>
      </c>
      <c r="AH13" s="132">
        <f aca="true" t="shared" si="24" ref="AH13:AH36">AG13*C13*12</f>
        <v>28940.2848</v>
      </c>
      <c r="AI13" s="178">
        <f aca="true" t="shared" si="25" ref="AI13:AI37">ROUND(AH13,0)</f>
        <v>28940</v>
      </c>
      <c r="AJ13" s="221">
        <f aca="true" t="shared" si="26" ref="AJ13:AJ36">15000/C13/12</f>
        <v>0.3731822293607836</v>
      </c>
      <c r="AK13" s="167">
        <f aca="true" t="shared" si="27" ref="AK13:AK36">ROUND(AJ13,2)</f>
        <v>0.37</v>
      </c>
      <c r="AL13" s="218">
        <f t="shared" si="9"/>
        <v>14872.090800000002</v>
      </c>
      <c r="AM13" s="218">
        <f aca="true" t="shared" si="28" ref="AM13:AM36">ROUND(AL13,0)</f>
        <v>14872</v>
      </c>
      <c r="AN13" s="221">
        <f aca="true" t="shared" si="29" ref="AN13:AN32">0/C13/12</f>
        <v>0</v>
      </c>
      <c r="AO13" s="167">
        <f aca="true" t="shared" si="30" ref="AO13:AO36">ROUND(AN13,2)</f>
        <v>0</v>
      </c>
      <c r="AP13" s="218">
        <f aca="true" t="shared" si="31" ref="AP13:AP36">AO13*C13*12</f>
        <v>0</v>
      </c>
      <c r="AQ13" s="218">
        <f aca="true" t="shared" si="32" ref="AQ13:AQ37">ROUND(AP13,0)</f>
        <v>0</v>
      </c>
      <c r="AR13" s="221">
        <f>3900/C13/12</f>
        <v>0.09702737963380374</v>
      </c>
      <c r="AS13" s="167">
        <f aca="true" t="shared" si="33" ref="AS13:AS36">ROUND(AR13,2)</f>
        <v>0.1</v>
      </c>
      <c r="AT13" s="218">
        <f aca="true" t="shared" si="34" ref="AT13:AT36">AS13*C13*12</f>
        <v>4019.4840000000004</v>
      </c>
      <c r="AU13" s="218">
        <f aca="true" t="shared" si="35" ref="AU13:AU37">ROUND(AT13,0)</f>
        <v>4019</v>
      </c>
      <c r="AV13" s="200">
        <f aca="true" t="shared" si="36" ref="AV13:AV36">E13+I13+M13+Q13+U13+Y13+AC13+AG13+AK13+AO13+AS13</f>
        <v>2.14</v>
      </c>
      <c r="AW13" s="257">
        <f aca="true" t="shared" si="37" ref="AW13:AW36">F13+J13+N13+R13+V13+Z13+AD13+AH13+AL13+AP13+AT13</f>
        <v>86016.9576</v>
      </c>
      <c r="AX13" s="122">
        <f aca="true" t="shared" si="38" ref="AX13:AX36">ROUND(AW13,0)</f>
        <v>86017</v>
      </c>
      <c r="AY13" s="250"/>
      <c r="AZ13" s="253"/>
      <c r="BA13" s="256"/>
      <c r="BB13" s="244"/>
    </row>
    <row r="14" spans="1:54" ht="15" customHeight="1">
      <c r="A14" s="239">
        <v>3</v>
      </c>
      <c r="B14" s="126" t="s">
        <v>45</v>
      </c>
      <c r="C14" s="132">
        <v>1745.8</v>
      </c>
      <c r="D14" s="122">
        <f t="shared" si="10"/>
        <v>0</v>
      </c>
      <c r="E14" s="132">
        <f t="shared" si="11"/>
        <v>0</v>
      </c>
      <c r="F14" s="132">
        <f aca="true" t="shared" si="39" ref="F14:F36">E14*C14*12</f>
        <v>0</v>
      </c>
      <c r="G14" s="132">
        <f t="shared" si="0"/>
        <v>0</v>
      </c>
      <c r="H14" s="232">
        <f t="shared" si="12"/>
        <v>0</v>
      </c>
      <c r="I14" s="132">
        <f t="shared" si="13"/>
        <v>0</v>
      </c>
      <c r="J14" s="132">
        <f t="shared" si="1"/>
        <v>0</v>
      </c>
      <c r="K14" s="130">
        <f t="shared" si="14"/>
        <v>0</v>
      </c>
      <c r="L14" s="121">
        <f t="shared" si="2"/>
        <v>0</v>
      </c>
      <c r="M14" s="167">
        <f t="shared" si="3"/>
        <v>0</v>
      </c>
      <c r="N14" s="130">
        <f t="shared" si="4"/>
        <v>0</v>
      </c>
      <c r="O14" s="132">
        <f t="shared" si="15"/>
        <v>0</v>
      </c>
      <c r="P14" s="121">
        <f t="shared" si="16"/>
        <v>0</v>
      </c>
      <c r="Q14" s="132">
        <f aca="true" t="shared" si="40" ref="Q14:Q36">ROUND(P14,1)</f>
        <v>0</v>
      </c>
      <c r="R14" s="131">
        <f t="shared" si="5"/>
        <v>0</v>
      </c>
      <c r="S14" s="121">
        <f t="shared" si="17"/>
        <v>0</v>
      </c>
      <c r="T14" s="121">
        <f>0/C14/12</f>
        <v>0</v>
      </c>
      <c r="U14" s="132">
        <f>ROUND(T14,1)</f>
        <v>0</v>
      </c>
      <c r="V14" s="131">
        <f t="shared" si="6"/>
        <v>0</v>
      </c>
      <c r="W14" s="132">
        <f t="shared" si="18"/>
        <v>0</v>
      </c>
      <c r="X14" s="121">
        <f>0/C14/12</f>
        <v>0</v>
      </c>
      <c r="Y14" s="132">
        <f t="shared" si="19"/>
        <v>0</v>
      </c>
      <c r="Z14" s="130">
        <f t="shared" si="7"/>
        <v>0</v>
      </c>
      <c r="AA14" s="132">
        <f t="shared" si="20"/>
        <v>0</v>
      </c>
      <c r="AB14" s="167">
        <f>9500/C14/12</f>
        <v>0.4534692786497117</v>
      </c>
      <c r="AC14" s="132">
        <f t="shared" si="21"/>
        <v>0.45</v>
      </c>
      <c r="AD14" s="132">
        <f t="shared" si="8"/>
        <v>9427.32</v>
      </c>
      <c r="AE14" s="226">
        <f t="shared" si="22"/>
        <v>9427</v>
      </c>
      <c r="AF14" s="167">
        <f>5000/C14/12</f>
        <v>0.2386680413945851</v>
      </c>
      <c r="AG14" s="132">
        <f t="shared" si="23"/>
        <v>0.24</v>
      </c>
      <c r="AH14" s="132">
        <f t="shared" si="24"/>
        <v>5027.9039999999995</v>
      </c>
      <c r="AI14" s="178">
        <f t="shared" si="25"/>
        <v>5028</v>
      </c>
      <c r="AJ14" s="221">
        <f t="shared" si="26"/>
        <v>0.7160041241837553</v>
      </c>
      <c r="AK14" s="167">
        <f t="shared" si="27"/>
        <v>0.72</v>
      </c>
      <c r="AL14" s="218">
        <f t="shared" si="9"/>
        <v>15083.712</v>
      </c>
      <c r="AM14" s="218">
        <f t="shared" si="28"/>
        <v>15084</v>
      </c>
      <c r="AN14" s="221">
        <f>15000/C14/12</f>
        <v>0.7160041241837553</v>
      </c>
      <c r="AO14" s="167">
        <v>0.72</v>
      </c>
      <c r="AP14" s="218">
        <f t="shared" si="31"/>
        <v>15083.712</v>
      </c>
      <c r="AQ14" s="218">
        <f t="shared" si="32"/>
        <v>15084</v>
      </c>
      <c r="AR14" s="221">
        <f>3900/C14/12</f>
        <v>0.18616107228777637</v>
      </c>
      <c r="AS14" s="167">
        <f t="shared" si="33"/>
        <v>0.19</v>
      </c>
      <c r="AT14" s="218">
        <f t="shared" si="34"/>
        <v>3980.424</v>
      </c>
      <c r="AU14" s="218">
        <f t="shared" si="35"/>
        <v>3980</v>
      </c>
      <c r="AV14" s="200">
        <v>2.3</v>
      </c>
      <c r="AW14" s="257">
        <f t="shared" si="37"/>
        <v>48603.072</v>
      </c>
      <c r="AX14" s="122">
        <f t="shared" si="38"/>
        <v>48603</v>
      </c>
      <c r="AY14" s="250"/>
      <c r="AZ14" s="253"/>
      <c r="BA14" s="256"/>
      <c r="BB14" s="244"/>
    </row>
    <row r="15" spans="1:54" ht="15" customHeight="1">
      <c r="A15" s="238">
        <v>4</v>
      </c>
      <c r="B15" s="126" t="s">
        <v>46</v>
      </c>
      <c r="C15" s="132">
        <v>3544.58</v>
      </c>
      <c r="D15" s="122">
        <f>15000/C15/12</f>
        <v>0.35265108983292803</v>
      </c>
      <c r="E15" s="132">
        <f t="shared" si="11"/>
        <v>0.35</v>
      </c>
      <c r="F15" s="132">
        <f t="shared" si="39"/>
        <v>14887.235999999997</v>
      </c>
      <c r="G15" s="132">
        <f t="shared" si="0"/>
        <v>14887</v>
      </c>
      <c r="H15" s="232">
        <f t="shared" si="12"/>
        <v>0</v>
      </c>
      <c r="I15" s="132">
        <f t="shared" si="13"/>
        <v>0</v>
      </c>
      <c r="J15" s="132">
        <f t="shared" si="1"/>
        <v>0</v>
      </c>
      <c r="K15" s="130">
        <f t="shared" si="14"/>
        <v>0</v>
      </c>
      <c r="L15" s="121">
        <f>10000/C15/12</f>
        <v>0.23510072655528536</v>
      </c>
      <c r="M15" s="167">
        <f t="shared" si="3"/>
        <v>0.24</v>
      </c>
      <c r="N15" s="130">
        <f t="shared" si="4"/>
        <v>10208.390399999998</v>
      </c>
      <c r="O15" s="132">
        <f t="shared" si="15"/>
        <v>10208</v>
      </c>
      <c r="P15" s="121">
        <f>12000/C15/12</f>
        <v>0.28212087186634244</v>
      </c>
      <c r="Q15" s="132">
        <f t="shared" si="40"/>
        <v>0.3</v>
      </c>
      <c r="R15" s="131">
        <f t="shared" si="5"/>
        <v>12760.488000000001</v>
      </c>
      <c r="S15" s="121">
        <f t="shared" si="17"/>
        <v>12760</v>
      </c>
      <c r="T15" s="121">
        <f>81000/C15/12</f>
        <v>1.9043158850978115</v>
      </c>
      <c r="U15" s="132">
        <f>ROUND(T15,2)</f>
        <v>1.9</v>
      </c>
      <c r="V15" s="131">
        <f t="shared" si="6"/>
        <v>80816.424</v>
      </c>
      <c r="W15" s="132">
        <f t="shared" si="18"/>
        <v>80816</v>
      </c>
      <c r="X15" s="121">
        <f>0/C15/12</f>
        <v>0</v>
      </c>
      <c r="Y15" s="132">
        <f t="shared" si="19"/>
        <v>0</v>
      </c>
      <c r="Z15" s="130">
        <f t="shared" si="7"/>
        <v>0</v>
      </c>
      <c r="AA15" s="132">
        <f t="shared" si="20"/>
        <v>0</v>
      </c>
      <c r="AB15" s="167">
        <f aca="true" t="shared" si="41" ref="AB15:AB36">9500/C15/12</f>
        <v>0.22334569022752107</v>
      </c>
      <c r="AC15" s="132">
        <f t="shared" si="21"/>
        <v>0.22</v>
      </c>
      <c r="AD15" s="132">
        <f t="shared" si="8"/>
        <v>9357.6912</v>
      </c>
      <c r="AE15" s="226">
        <f t="shared" si="22"/>
        <v>9358</v>
      </c>
      <c r="AF15" s="167">
        <f aca="true" t="shared" si="42" ref="AF15:AF36">0/C15/12</f>
        <v>0</v>
      </c>
      <c r="AG15" s="132">
        <f t="shared" si="23"/>
        <v>0</v>
      </c>
      <c r="AH15" s="132">
        <f t="shared" si="24"/>
        <v>0</v>
      </c>
      <c r="AI15" s="178">
        <f t="shared" si="25"/>
        <v>0</v>
      </c>
      <c r="AJ15" s="221">
        <f>15000/C15/12</f>
        <v>0.35265108983292803</v>
      </c>
      <c r="AK15" s="167">
        <f t="shared" si="27"/>
        <v>0.35</v>
      </c>
      <c r="AL15" s="218">
        <f t="shared" si="9"/>
        <v>14887.235999999997</v>
      </c>
      <c r="AM15" s="218">
        <f t="shared" si="28"/>
        <v>14887</v>
      </c>
      <c r="AN15" s="221">
        <f t="shared" si="29"/>
        <v>0</v>
      </c>
      <c r="AO15" s="167">
        <f t="shared" si="30"/>
        <v>0</v>
      </c>
      <c r="AP15" s="218">
        <f t="shared" si="31"/>
        <v>0</v>
      </c>
      <c r="AQ15" s="218">
        <f t="shared" si="32"/>
        <v>0</v>
      </c>
      <c r="AR15" s="221">
        <f>4500/C15/12</f>
        <v>0.10579532694987841</v>
      </c>
      <c r="AS15" s="167">
        <f t="shared" si="33"/>
        <v>0.11</v>
      </c>
      <c r="AT15" s="218">
        <f t="shared" si="34"/>
        <v>4678.8456</v>
      </c>
      <c r="AU15" s="218">
        <f t="shared" si="35"/>
        <v>4679</v>
      </c>
      <c r="AV15" s="200">
        <f t="shared" si="36"/>
        <v>3.47</v>
      </c>
      <c r="AW15" s="257">
        <f t="shared" si="37"/>
        <v>147596.3112</v>
      </c>
      <c r="AX15" s="122">
        <f t="shared" si="38"/>
        <v>147596</v>
      </c>
      <c r="AY15" s="250"/>
      <c r="AZ15" s="253"/>
      <c r="BA15" s="256"/>
      <c r="BB15" s="244"/>
    </row>
    <row r="16" spans="1:54" ht="15" customHeight="1">
      <c r="A16" s="239">
        <v>5</v>
      </c>
      <c r="B16" s="126" t="s">
        <v>47</v>
      </c>
      <c r="C16" s="132">
        <v>1688.21</v>
      </c>
      <c r="D16" s="122">
        <f t="shared" si="10"/>
        <v>0</v>
      </c>
      <c r="E16" s="132">
        <f t="shared" si="11"/>
        <v>0</v>
      </c>
      <c r="F16" s="132">
        <f t="shared" si="39"/>
        <v>0</v>
      </c>
      <c r="G16" s="132">
        <f t="shared" si="0"/>
        <v>0</v>
      </c>
      <c r="H16" s="232">
        <f t="shared" si="12"/>
        <v>0</v>
      </c>
      <c r="I16" s="132">
        <f t="shared" si="13"/>
        <v>0</v>
      </c>
      <c r="J16" s="132">
        <f t="shared" si="1"/>
        <v>0</v>
      </c>
      <c r="K16" s="130">
        <f t="shared" si="14"/>
        <v>0</v>
      </c>
      <c r="L16" s="121">
        <f t="shared" si="2"/>
        <v>0</v>
      </c>
      <c r="M16" s="167">
        <f t="shared" si="3"/>
        <v>0</v>
      </c>
      <c r="N16" s="130">
        <f t="shared" si="4"/>
        <v>0</v>
      </c>
      <c r="O16" s="132">
        <f t="shared" si="15"/>
        <v>0</v>
      </c>
      <c r="P16" s="121">
        <f t="shared" si="16"/>
        <v>0</v>
      </c>
      <c r="Q16" s="132">
        <f t="shared" si="40"/>
        <v>0</v>
      </c>
      <c r="R16" s="131">
        <f t="shared" si="5"/>
        <v>0</v>
      </c>
      <c r="S16" s="121">
        <f t="shared" si="17"/>
        <v>0</v>
      </c>
      <c r="T16" s="121">
        <f>97000/C16/12</f>
        <v>4.788108904302979</v>
      </c>
      <c r="U16" s="132">
        <f aca="true" t="shared" si="43" ref="U16:U36">ROUND(T16,2)</f>
        <v>4.79</v>
      </c>
      <c r="V16" s="131">
        <f t="shared" si="6"/>
        <v>97038.3108</v>
      </c>
      <c r="W16" s="132">
        <f t="shared" si="18"/>
        <v>97038</v>
      </c>
      <c r="X16" s="121">
        <f aca="true" t="shared" si="44" ref="X16:X33">0/C16/12</f>
        <v>0</v>
      </c>
      <c r="Y16" s="132">
        <f t="shared" si="19"/>
        <v>0</v>
      </c>
      <c r="Z16" s="130">
        <f t="shared" si="7"/>
        <v>0</v>
      </c>
      <c r="AA16" s="132">
        <f t="shared" si="20"/>
        <v>0</v>
      </c>
      <c r="AB16" s="167">
        <f t="shared" si="41"/>
        <v>0.46893850093688977</v>
      </c>
      <c r="AC16" s="132">
        <f t="shared" si="21"/>
        <v>0.47</v>
      </c>
      <c r="AD16" s="132">
        <f t="shared" si="8"/>
        <v>9521.5044</v>
      </c>
      <c r="AE16" s="226">
        <f t="shared" si="22"/>
        <v>9522</v>
      </c>
      <c r="AF16" s="167">
        <f t="shared" si="42"/>
        <v>0</v>
      </c>
      <c r="AG16" s="132">
        <f t="shared" si="23"/>
        <v>0</v>
      </c>
      <c r="AH16" s="132">
        <f t="shared" si="24"/>
        <v>0</v>
      </c>
      <c r="AI16" s="178">
        <f t="shared" si="25"/>
        <v>0</v>
      </c>
      <c r="AJ16" s="221">
        <f t="shared" si="26"/>
        <v>0.7404292120056154</v>
      </c>
      <c r="AK16" s="167">
        <f t="shared" si="27"/>
        <v>0.74</v>
      </c>
      <c r="AL16" s="218">
        <f t="shared" si="9"/>
        <v>14991.3048</v>
      </c>
      <c r="AM16" s="218">
        <f t="shared" si="28"/>
        <v>14991</v>
      </c>
      <c r="AN16" s="221">
        <f t="shared" si="29"/>
        <v>0</v>
      </c>
      <c r="AO16" s="167">
        <f t="shared" si="30"/>
        <v>0</v>
      </c>
      <c r="AP16" s="218">
        <f t="shared" si="31"/>
        <v>0</v>
      </c>
      <c r="AQ16" s="218">
        <f t="shared" si="32"/>
        <v>0</v>
      </c>
      <c r="AR16" s="221">
        <f>3950/C16/12</f>
        <v>0.19497969249481206</v>
      </c>
      <c r="AS16" s="167">
        <f t="shared" si="33"/>
        <v>0.19</v>
      </c>
      <c r="AT16" s="218">
        <f t="shared" si="34"/>
        <v>3849.1188</v>
      </c>
      <c r="AU16" s="218">
        <f t="shared" si="35"/>
        <v>3849</v>
      </c>
      <c r="AV16" s="200">
        <f t="shared" si="36"/>
        <v>6.19</v>
      </c>
      <c r="AW16" s="257">
        <f t="shared" si="37"/>
        <v>125400.2388</v>
      </c>
      <c r="AX16" s="122">
        <f t="shared" si="38"/>
        <v>125400</v>
      </c>
      <c r="AY16" s="250"/>
      <c r="AZ16" s="253"/>
      <c r="BA16" s="256"/>
      <c r="BB16" s="244"/>
    </row>
    <row r="17" spans="1:54" ht="15" customHeight="1">
      <c r="A17" s="238">
        <v>6</v>
      </c>
      <c r="B17" s="126" t="s">
        <v>48</v>
      </c>
      <c r="C17" s="132">
        <v>1687.44</v>
      </c>
      <c r="D17" s="122">
        <f t="shared" si="10"/>
        <v>0</v>
      </c>
      <c r="E17" s="132">
        <f t="shared" si="11"/>
        <v>0</v>
      </c>
      <c r="F17" s="132">
        <f t="shared" si="39"/>
        <v>0</v>
      </c>
      <c r="G17" s="132">
        <f t="shared" si="0"/>
        <v>0</v>
      </c>
      <c r="H17" s="232">
        <f t="shared" si="12"/>
        <v>0</v>
      </c>
      <c r="I17" s="132">
        <f t="shared" si="13"/>
        <v>0</v>
      </c>
      <c r="J17" s="132">
        <f t="shared" si="1"/>
        <v>0</v>
      </c>
      <c r="K17" s="130">
        <f t="shared" si="14"/>
        <v>0</v>
      </c>
      <c r="L17" s="121">
        <f>11000/C17/12</f>
        <v>0.5432291913589026</v>
      </c>
      <c r="M17" s="167">
        <f t="shared" si="3"/>
        <v>0.54</v>
      </c>
      <c r="N17" s="130">
        <f t="shared" si="4"/>
        <v>10934.611200000001</v>
      </c>
      <c r="O17" s="132">
        <f t="shared" si="15"/>
        <v>10935</v>
      </c>
      <c r="P17" s="121">
        <f t="shared" si="16"/>
        <v>0</v>
      </c>
      <c r="Q17" s="132">
        <f t="shared" si="40"/>
        <v>0</v>
      </c>
      <c r="R17" s="131">
        <f t="shared" si="5"/>
        <v>0</v>
      </c>
      <c r="S17" s="121">
        <f t="shared" si="17"/>
        <v>0</v>
      </c>
      <c r="T17" s="121">
        <f>90000/C17/12</f>
        <v>4.4446024747546575</v>
      </c>
      <c r="U17" s="132">
        <f t="shared" si="43"/>
        <v>4.44</v>
      </c>
      <c r="V17" s="131">
        <f t="shared" si="6"/>
        <v>89906.80320000001</v>
      </c>
      <c r="W17" s="132">
        <f t="shared" si="18"/>
        <v>89907</v>
      </c>
      <c r="X17" s="121">
        <f t="shared" si="44"/>
        <v>0</v>
      </c>
      <c r="Y17" s="132">
        <f t="shared" si="19"/>
        <v>0</v>
      </c>
      <c r="Z17" s="130">
        <f t="shared" si="7"/>
        <v>0</v>
      </c>
      <c r="AA17" s="132">
        <f t="shared" si="20"/>
        <v>0</v>
      </c>
      <c r="AB17" s="167">
        <f t="shared" si="41"/>
        <v>0.469152483446325</v>
      </c>
      <c r="AC17" s="132">
        <f t="shared" si="21"/>
        <v>0.47</v>
      </c>
      <c r="AD17" s="132">
        <f t="shared" si="8"/>
        <v>9517.1616</v>
      </c>
      <c r="AE17" s="226">
        <f t="shared" si="22"/>
        <v>9517</v>
      </c>
      <c r="AF17" s="167">
        <f t="shared" si="42"/>
        <v>0</v>
      </c>
      <c r="AG17" s="132">
        <f t="shared" si="23"/>
        <v>0</v>
      </c>
      <c r="AH17" s="132">
        <f t="shared" si="24"/>
        <v>0</v>
      </c>
      <c r="AI17" s="178">
        <f t="shared" si="25"/>
        <v>0</v>
      </c>
      <c r="AJ17" s="221">
        <f t="shared" si="26"/>
        <v>0.7407670791257762</v>
      </c>
      <c r="AK17" s="167">
        <f t="shared" si="27"/>
        <v>0.74</v>
      </c>
      <c r="AL17" s="218">
        <f t="shared" si="9"/>
        <v>14984.4672</v>
      </c>
      <c r="AM17" s="218">
        <f t="shared" si="28"/>
        <v>14984</v>
      </c>
      <c r="AN17" s="221">
        <f t="shared" si="29"/>
        <v>0</v>
      </c>
      <c r="AO17" s="167">
        <f t="shared" si="30"/>
        <v>0</v>
      </c>
      <c r="AP17" s="218">
        <f t="shared" si="31"/>
        <v>0</v>
      </c>
      <c r="AQ17" s="218">
        <f t="shared" si="32"/>
        <v>0</v>
      </c>
      <c r="AR17" s="221">
        <f>3370/C17/12</f>
        <v>0.16642567044359108</v>
      </c>
      <c r="AS17" s="167">
        <f t="shared" si="33"/>
        <v>0.17</v>
      </c>
      <c r="AT17" s="218">
        <f t="shared" si="34"/>
        <v>3442.3776</v>
      </c>
      <c r="AU17" s="218">
        <f t="shared" si="35"/>
        <v>3442</v>
      </c>
      <c r="AV17" s="200">
        <f t="shared" si="36"/>
        <v>6.36</v>
      </c>
      <c r="AW17" s="257">
        <f t="shared" si="37"/>
        <v>128785.42079999999</v>
      </c>
      <c r="AX17" s="122">
        <f t="shared" si="38"/>
        <v>128785</v>
      </c>
      <c r="AY17" s="250"/>
      <c r="AZ17" s="253"/>
      <c r="BA17" s="256"/>
      <c r="BB17" s="244"/>
    </row>
    <row r="18" spans="1:54" ht="15" customHeight="1">
      <c r="A18" s="239">
        <v>7</v>
      </c>
      <c r="B18" s="126" t="s">
        <v>49</v>
      </c>
      <c r="C18" s="132">
        <v>3392.58</v>
      </c>
      <c r="D18" s="122">
        <f t="shared" si="10"/>
        <v>0</v>
      </c>
      <c r="E18" s="132">
        <f t="shared" si="11"/>
        <v>0</v>
      </c>
      <c r="F18" s="132">
        <f t="shared" si="39"/>
        <v>0</v>
      </c>
      <c r="G18" s="132">
        <f t="shared" si="0"/>
        <v>0</v>
      </c>
      <c r="H18" s="232">
        <f t="shared" si="12"/>
        <v>0</v>
      </c>
      <c r="I18" s="132">
        <f t="shared" si="13"/>
        <v>0</v>
      </c>
      <c r="J18" s="132">
        <f t="shared" si="1"/>
        <v>0</v>
      </c>
      <c r="K18" s="130">
        <f t="shared" si="14"/>
        <v>0</v>
      </c>
      <c r="L18" s="121">
        <f>12500/C18/12</f>
        <v>0.3070426243940207</v>
      </c>
      <c r="M18" s="167">
        <f t="shared" si="3"/>
        <v>0.31</v>
      </c>
      <c r="N18" s="130">
        <f t="shared" si="4"/>
        <v>12620.397599999998</v>
      </c>
      <c r="O18" s="132">
        <f t="shared" si="15"/>
        <v>12620</v>
      </c>
      <c r="P18" s="121">
        <f t="shared" si="16"/>
        <v>0</v>
      </c>
      <c r="Q18" s="132">
        <f t="shared" si="40"/>
        <v>0</v>
      </c>
      <c r="R18" s="131">
        <f t="shared" si="5"/>
        <v>0</v>
      </c>
      <c r="S18" s="121">
        <f t="shared" si="17"/>
        <v>0</v>
      </c>
      <c r="T18" s="121">
        <f>90000/C18/12</f>
        <v>2.210706895636949</v>
      </c>
      <c r="U18" s="132">
        <f t="shared" si="43"/>
        <v>2.21</v>
      </c>
      <c r="V18" s="131">
        <f t="shared" si="6"/>
        <v>89971.22159999999</v>
      </c>
      <c r="W18" s="132">
        <f t="shared" si="18"/>
        <v>89971</v>
      </c>
      <c r="X18" s="121">
        <f t="shared" si="44"/>
        <v>0</v>
      </c>
      <c r="Y18" s="132">
        <f t="shared" si="19"/>
        <v>0</v>
      </c>
      <c r="Z18" s="130">
        <f t="shared" si="7"/>
        <v>0</v>
      </c>
      <c r="AA18" s="132">
        <f t="shared" si="20"/>
        <v>0</v>
      </c>
      <c r="AB18" s="167">
        <f t="shared" si="41"/>
        <v>0.2333523945394557</v>
      </c>
      <c r="AC18" s="132">
        <f t="shared" si="21"/>
        <v>0.23</v>
      </c>
      <c r="AD18" s="132">
        <f t="shared" si="8"/>
        <v>9363.5208</v>
      </c>
      <c r="AE18" s="226">
        <f t="shared" si="22"/>
        <v>9364</v>
      </c>
      <c r="AF18" s="167">
        <f t="shared" si="42"/>
        <v>0</v>
      </c>
      <c r="AG18" s="132">
        <f t="shared" si="23"/>
        <v>0</v>
      </c>
      <c r="AH18" s="132">
        <f t="shared" si="24"/>
        <v>0</v>
      </c>
      <c r="AI18" s="178">
        <f t="shared" si="25"/>
        <v>0</v>
      </c>
      <c r="AJ18" s="221">
        <f t="shared" si="26"/>
        <v>0.36845114927282485</v>
      </c>
      <c r="AK18" s="167">
        <f t="shared" si="27"/>
        <v>0.37</v>
      </c>
      <c r="AL18" s="218">
        <f t="shared" si="9"/>
        <v>15063.055199999999</v>
      </c>
      <c r="AM18" s="218">
        <f t="shared" si="28"/>
        <v>15063</v>
      </c>
      <c r="AN18" s="221">
        <f>25000/C18/12</f>
        <v>0.6140852487880414</v>
      </c>
      <c r="AO18" s="167">
        <f t="shared" si="30"/>
        <v>0.61</v>
      </c>
      <c r="AP18" s="218">
        <f t="shared" si="31"/>
        <v>24833.685599999997</v>
      </c>
      <c r="AQ18" s="218">
        <f t="shared" si="32"/>
        <v>24834</v>
      </c>
      <c r="AR18" s="221">
        <f>5500/C18/12</f>
        <v>0.1350987547333691</v>
      </c>
      <c r="AS18" s="167">
        <f t="shared" si="33"/>
        <v>0.14</v>
      </c>
      <c r="AT18" s="218">
        <f t="shared" si="34"/>
        <v>5699.5344000000005</v>
      </c>
      <c r="AU18" s="218">
        <f t="shared" si="35"/>
        <v>5700</v>
      </c>
      <c r="AV18" s="200">
        <f t="shared" si="36"/>
        <v>3.87</v>
      </c>
      <c r="AW18" s="257">
        <f t="shared" si="37"/>
        <v>157551.4152</v>
      </c>
      <c r="AX18" s="122">
        <f t="shared" si="38"/>
        <v>157551</v>
      </c>
      <c r="AY18" s="250"/>
      <c r="AZ18" s="253"/>
      <c r="BA18" s="256"/>
      <c r="BB18" s="244"/>
    </row>
    <row r="19" spans="1:54" ht="15" customHeight="1">
      <c r="A19" s="238">
        <v>8</v>
      </c>
      <c r="B19" s="126" t="s">
        <v>50</v>
      </c>
      <c r="C19" s="132">
        <v>1687.1</v>
      </c>
      <c r="D19" s="122">
        <f>25000/C19/12</f>
        <v>1.2348606089344636</v>
      </c>
      <c r="E19" s="132">
        <f t="shared" si="11"/>
        <v>1.23</v>
      </c>
      <c r="F19" s="132">
        <f t="shared" si="39"/>
        <v>24901.595999999998</v>
      </c>
      <c r="G19" s="132">
        <f t="shared" si="0"/>
        <v>24902</v>
      </c>
      <c r="H19" s="232">
        <f>10000/C19/12</f>
        <v>0.49394424357378547</v>
      </c>
      <c r="I19" s="132">
        <f t="shared" si="13"/>
        <v>0.5</v>
      </c>
      <c r="J19" s="132">
        <f t="shared" si="1"/>
        <v>10122.599999999999</v>
      </c>
      <c r="K19" s="130">
        <f t="shared" si="14"/>
        <v>10123</v>
      </c>
      <c r="L19" s="121">
        <f t="shared" si="2"/>
        <v>0</v>
      </c>
      <c r="M19" s="167">
        <f t="shared" si="3"/>
        <v>0</v>
      </c>
      <c r="N19" s="130">
        <f t="shared" si="4"/>
        <v>0</v>
      </c>
      <c r="O19" s="132">
        <f t="shared" si="15"/>
        <v>0</v>
      </c>
      <c r="P19" s="121">
        <f>10000/C19/12</f>
        <v>0.49394424357378547</v>
      </c>
      <c r="Q19" s="132">
        <f t="shared" si="40"/>
        <v>0.5</v>
      </c>
      <c r="R19" s="131">
        <f t="shared" si="5"/>
        <v>10122.599999999999</v>
      </c>
      <c r="S19" s="121">
        <f t="shared" si="17"/>
        <v>10123</v>
      </c>
      <c r="T19" s="121">
        <f>0/C19/12</f>
        <v>0</v>
      </c>
      <c r="U19" s="132">
        <f t="shared" si="43"/>
        <v>0</v>
      </c>
      <c r="V19" s="131">
        <f t="shared" si="6"/>
        <v>0</v>
      </c>
      <c r="W19" s="132">
        <f t="shared" si="18"/>
        <v>0</v>
      </c>
      <c r="X19" s="121">
        <f>12000/C19/12</f>
        <v>0.5927330922885424</v>
      </c>
      <c r="Y19" s="132">
        <f t="shared" si="19"/>
        <v>0.59</v>
      </c>
      <c r="Z19" s="130">
        <f t="shared" si="7"/>
        <v>11944.667999999998</v>
      </c>
      <c r="AA19" s="132">
        <f t="shared" si="20"/>
        <v>11945</v>
      </c>
      <c r="AB19" s="167">
        <f t="shared" si="41"/>
        <v>0.4692470313950961</v>
      </c>
      <c r="AC19" s="132">
        <f t="shared" si="21"/>
        <v>0.47</v>
      </c>
      <c r="AD19" s="132">
        <f t="shared" si="8"/>
        <v>9515.243999999999</v>
      </c>
      <c r="AE19" s="226">
        <f t="shared" si="22"/>
        <v>9515</v>
      </c>
      <c r="AF19" s="167">
        <f>5000/C19/12</f>
        <v>0.24697212178689273</v>
      </c>
      <c r="AG19" s="132">
        <f t="shared" si="23"/>
        <v>0.25</v>
      </c>
      <c r="AH19" s="132">
        <f t="shared" si="24"/>
        <v>5061.299999999999</v>
      </c>
      <c r="AI19" s="178">
        <f t="shared" si="25"/>
        <v>5061</v>
      </c>
      <c r="AJ19" s="221">
        <f t="shared" si="26"/>
        <v>0.7409163653606781</v>
      </c>
      <c r="AK19" s="167">
        <f t="shared" si="27"/>
        <v>0.74</v>
      </c>
      <c r="AL19" s="218">
        <f t="shared" si="9"/>
        <v>14981.448</v>
      </c>
      <c r="AM19" s="218">
        <f t="shared" si="28"/>
        <v>14981</v>
      </c>
      <c r="AN19" s="221">
        <f>20000/C19/12</f>
        <v>0.9878884871475709</v>
      </c>
      <c r="AO19" s="167">
        <f t="shared" si="30"/>
        <v>0.99</v>
      </c>
      <c r="AP19" s="218">
        <f t="shared" si="31"/>
        <v>20042.748</v>
      </c>
      <c r="AQ19" s="218">
        <f t="shared" si="32"/>
        <v>20043</v>
      </c>
      <c r="AR19" s="221">
        <f>3550/C19/12</f>
        <v>0.17535020646869381</v>
      </c>
      <c r="AS19" s="167">
        <f t="shared" si="33"/>
        <v>0.18</v>
      </c>
      <c r="AT19" s="218">
        <f t="shared" si="34"/>
        <v>3644.136</v>
      </c>
      <c r="AU19" s="218">
        <f t="shared" si="35"/>
        <v>3644</v>
      </c>
      <c r="AV19" s="200">
        <v>5.46</v>
      </c>
      <c r="AW19" s="257">
        <f t="shared" si="37"/>
        <v>110336.34</v>
      </c>
      <c r="AX19" s="122">
        <f t="shared" si="38"/>
        <v>110336</v>
      </c>
      <c r="AY19" s="250"/>
      <c r="AZ19" s="253"/>
      <c r="BA19" s="256"/>
      <c r="BB19" s="244"/>
    </row>
    <row r="20" spans="1:54" ht="15" customHeight="1">
      <c r="A20" s="239">
        <v>9</v>
      </c>
      <c r="B20" s="126" t="s">
        <v>51</v>
      </c>
      <c r="C20" s="132">
        <v>1721.5</v>
      </c>
      <c r="D20" s="122">
        <f t="shared" si="10"/>
        <v>0</v>
      </c>
      <c r="E20" s="132">
        <f t="shared" si="11"/>
        <v>0</v>
      </c>
      <c r="F20" s="132">
        <f t="shared" si="39"/>
        <v>0</v>
      </c>
      <c r="G20" s="132">
        <f t="shared" si="0"/>
        <v>0</v>
      </c>
      <c r="H20" s="232">
        <f t="shared" si="12"/>
        <v>0</v>
      </c>
      <c r="I20" s="132">
        <f t="shared" si="13"/>
        <v>0</v>
      </c>
      <c r="J20" s="132">
        <f t="shared" si="1"/>
        <v>0</v>
      </c>
      <c r="K20" s="130">
        <f t="shared" si="14"/>
        <v>0</v>
      </c>
      <c r="L20" s="121">
        <f t="shared" si="2"/>
        <v>0</v>
      </c>
      <c r="M20" s="167">
        <f t="shared" si="3"/>
        <v>0</v>
      </c>
      <c r="N20" s="130">
        <f t="shared" si="4"/>
        <v>0</v>
      </c>
      <c r="O20" s="132">
        <f t="shared" si="15"/>
        <v>0</v>
      </c>
      <c r="P20" s="121">
        <f t="shared" si="16"/>
        <v>0</v>
      </c>
      <c r="Q20" s="132">
        <f t="shared" si="40"/>
        <v>0</v>
      </c>
      <c r="R20" s="131">
        <f t="shared" si="5"/>
        <v>0</v>
      </c>
      <c r="S20" s="121">
        <f t="shared" si="17"/>
        <v>0</v>
      </c>
      <c r="T20" s="121">
        <f>92000/C20/12</f>
        <v>4.45348049181915</v>
      </c>
      <c r="U20" s="132">
        <f t="shared" si="43"/>
        <v>4.45</v>
      </c>
      <c r="V20" s="131">
        <f t="shared" si="6"/>
        <v>91928.1</v>
      </c>
      <c r="W20" s="132">
        <f t="shared" si="18"/>
        <v>91928</v>
      </c>
      <c r="X20" s="121">
        <f>12000/C20/12</f>
        <v>0.5808887598024978</v>
      </c>
      <c r="Y20" s="132">
        <f t="shared" si="19"/>
        <v>0.58</v>
      </c>
      <c r="Z20" s="130">
        <f t="shared" si="7"/>
        <v>11981.64</v>
      </c>
      <c r="AA20" s="132">
        <f t="shared" si="20"/>
        <v>11982</v>
      </c>
      <c r="AB20" s="167">
        <f t="shared" si="41"/>
        <v>0.45987026817697746</v>
      </c>
      <c r="AC20" s="132">
        <f t="shared" si="21"/>
        <v>0.46</v>
      </c>
      <c r="AD20" s="132">
        <f t="shared" si="8"/>
        <v>9502.68</v>
      </c>
      <c r="AE20" s="226">
        <f t="shared" si="22"/>
        <v>9503</v>
      </c>
      <c r="AF20" s="167">
        <f t="shared" si="42"/>
        <v>0</v>
      </c>
      <c r="AG20" s="132">
        <f t="shared" si="23"/>
        <v>0</v>
      </c>
      <c r="AH20" s="132">
        <f t="shared" si="24"/>
        <v>0</v>
      </c>
      <c r="AI20" s="178">
        <f t="shared" si="25"/>
        <v>0</v>
      </c>
      <c r="AJ20" s="221">
        <f t="shared" si="26"/>
        <v>0.7261109497531223</v>
      </c>
      <c r="AK20" s="167">
        <f t="shared" si="27"/>
        <v>0.73</v>
      </c>
      <c r="AL20" s="218">
        <f t="shared" si="9"/>
        <v>15080.34</v>
      </c>
      <c r="AM20" s="218">
        <f t="shared" si="28"/>
        <v>15080</v>
      </c>
      <c r="AN20" s="221">
        <f t="shared" si="29"/>
        <v>0</v>
      </c>
      <c r="AO20" s="167">
        <f t="shared" si="30"/>
        <v>0</v>
      </c>
      <c r="AP20" s="218">
        <f t="shared" si="31"/>
        <v>0</v>
      </c>
      <c r="AQ20" s="218">
        <f t="shared" si="32"/>
        <v>0</v>
      </c>
      <c r="AR20" s="221">
        <f>3400/C20/12</f>
        <v>0.16458514861070772</v>
      </c>
      <c r="AS20" s="167">
        <f t="shared" si="33"/>
        <v>0.16</v>
      </c>
      <c r="AT20" s="218">
        <f t="shared" si="34"/>
        <v>3305.2799999999997</v>
      </c>
      <c r="AU20" s="218">
        <f t="shared" si="35"/>
        <v>3305</v>
      </c>
      <c r="AV20" s="200">
        <f t="shared" si="36"/>
        <v>6.380000000000001</v>
      </c>
      <c r="AW20" s="257">
        <f t="shared" si="37"/>
        <v>131798.04</v>
      </c>
      <c r="AX20" s="122">
        <f t="shared" si="38"/>
        <v>131798</v>
      </c>
      <c r="AY20" s="250"/>
      <c r="AZ20" s="253"/>
      <c r="BA20" s="256"/>
      <c r="BB20" s="244"/>
    </row>
    <row r="21" spans="1:54" ht="25.5" customHeight="1">
      <c r="A21" s="238">
        <v>10</v>
      </c>
      <c r="B21" s="126" t="s">
        <v>52</v>
      </c>
      <c r="C21" s="132">
        <v>3372.81</v>
      </c>
      <c r="D21" s="122">
        <f>30000/C21/12</f>
        <v>0.7412217112733893</v>
      </c>
      <c r="E21" s="132">
        <f t="shared" si="11"/>
        <v>0.74</v>
      </c>
      <c r="F21" s="132">
        <f>E21*C21*12</f>
        <v>29950.552799999998</v>
      </c>
      <c r="G21" s="132">
        <f t="shared" si="0"/>
        <v>29951</v>
      </c>
      <c r="H21" s="232">
        <f>16000/C21/12</f>
        <v>0.3953182460124743</v>
      </c>
      <c r="I21" s="132">
        <f>ROUND(H21,2)</f>
        <v>0.4</v>
      </c>
      <c r="J21" s="132">
        <f t="shared" si="1"/>
        <v>16189.488000000001</v>
      </c>
      <c r="K21" s="130">
        <f t="shared" si="14"/>
        <v>16189</v>
      </c>
      <c r="L21" s="121">
        <f>22000/C21/12</f>
        <v>0.5435625882671521</v>
      </c>
      <c r="M21" s="167">
        <f t="shared" si="3"/>
        <v>0.54</v>
      </c>
      <c r="N21" s="130">
        <f t="shared" si="4"/>
        <v>21855.808800000003</v>
      </c>
      <c r="O21" s="132">
        <f t="shared" si="15"/>
        <v>21856</v>
      </c>
      <c r="P21" s="121">
        <f t="shared" si="16"/>
        <v>0</v>
      </c>
      <c r="Q21" s="132">
        <f t="shared" si="40"/>
        <v>0</v>
      </c>
      <c r="R21" s="131">
        <f t="shared" si="5"/>
        <v>0</v>
      </c>
      <c r="S21" s="121">
        <f t="shared" si="17"/>
        <v>0</v>
      </c>
      <c r="T21" s="121">
        <f>186000/C21/12</f>
        <v>4.595574609895014</v>
      </c>
      <c r="U21" s="132">
        <f t="shared" si="43"/>
        <v>4.6</v>
      </c>
      <c r="V21" s="131">
        <f t="shared" si="6"/>
        <v>186179.11199999996</v>
      </c>
      <c r="W21" s="132">
        <f t="shared" si="18"/>
        <v>186179</v>
      </c>
      <c r="X21" s="121">
        <f t="shared" si="44"/>
        <v>0</v>
      </c>
      <c r="Y21" s="132">
        <f t="shared" si="19"/>
        <v>0</v>
      </c>
      <c r="Z21" s="130">
        <f t="shared" si="7"/>
        <v>0</v>
      </c>
      <c r="AA21" s="132">
        <f t="shared" si="20"/>
        <v>0</v>
      </c>
      <c r="AB21" s="167">
        <f t="shared" si="41"/>
        <v>0.2347202085699066</v>
      </c>
      <c r="AC21" s="132">
        <f t="shared" si="21"/>
        <v>0.23</v>
      </c>
      <c r="AD21" s="132">
        <f t="shared" si="8"/>
        <v>9308.955600000001</v>
      </c>
      <c r="AE21" s="226">
        <f t="shared" si="22"/>
        <v>9309</v>
      </c>
      <c r="AF21" s="167">
        <f t="shared" si="42"/>
        <v>0</v>
      </c>
      <c r="AG21" s="132">
        <f t="shared" si="23"/>
        <v>0</v>
      </c>
      <c r="AH21" s="132">
        <f t="shared" si="24"/>
        <v>0</v>
      </c>
      <c r="AI21" s="178">
        <f t="shared" si="25"/>
        <v>0</v>
      </c>
      <c r="AJ21" s="221">
        <f t="shared" si="26"/>
        <v>0.37061085563669466</v>
      </c>
      <c r="AK21" s="167">
        <f t="shared" si="27"/>
        <v>0.37</v>
      </c>
      <c r="AL21" s="218">
        <f t="shared" si="9"/>
        <v>14975.276399999999</v>
      </c>
      <c r="AM21" s="218">
        <f t="shared" si="28"/>
        <v>14975</v>
      </c>
      <c r="AN21" s="221">
        <f t="shared" si="29"/>
        <v>0</v>
      </c>
      <c r="AO21" s="167">
        <f t="shared" si="30"/>
        <v>0</v>
      </c>
      <c r="AP21" s="218">
        <f t="shared" si="31"/>
        <v>0</v>
      </c>
      <c r="AQ21" s="218">
        <f t="shared" si="32"/>
        <v>0</v>
      </c>
      <c r="AR21" s="221">
        <f>5100/C21/12</f>
        <v>0.12600769091647618</v>
      </c>
      <c r="AS21" s="167">
        <f t="shared" si="33"/>
        <v>0.13</v>
      </c>
      <c r="AT21" s="218">
        <f t="shared" si="34"/>
        <v>5261.5836</v>
      </c>
      <c r="AU21" s="218">
        <f t="shared" si="35"/>
        <v>5262</v>
      </c>
      <c r="AV21" s="200">
        <f t="shared" si="36"/>
        <v>7.01</v>
      </c>
      <c r="AW21" s="257">
        <f t="shared" si="37"/>
        <v>283720.77719999995</v>
      </c>
      <c r="AX21" s="122">
        <f t="shared" si="38"/>
        <v>283721</v>
      </c>
      <c r="AY21" s="250"/>
      <c r="AZ21" s="253"/>
      <c r="BA21" s="256"/>
      <c r="BB21" s="244"/>
    </row>
    <row r="22" spans="1:54" ht="15" customHeight="1">
      <c r="A22" s="239">
        <v>11</v>
      </c>
      <c r="B22" s="126" t="s">
        <v>53</v>
      </c>
      <c r="C22" s="132">
        <v>3423</v>
      </c>
      <c r="D22" s="122">
        <f t="shared" si="10"/>
        <v>0</v>
      </c>
      <c r="E22" s="132">
        <f t="shared" si="11"/>
        <v>0</v>
      </c>
      <c r="F22" s="132">
        <f t="shared" si="39"/>
        <v>0</v>
      </c>
      <c r="G22" s="132">
        <f t="shared" si="0"/>
        <v>0</v>
      </c>
      <c r="H22" s="232">
        <f>11000/C22/12</f>
        <v>0.26779628006621875</v>
      </c>
      <c r="I22" s="132">
        <f t="shared" si="13"/>
        <v>0.3</v>
      </c>
      <c r="J22" s="132">
        <f t="shared" si="1"/>
        <v>12322.8</v>
      </c>
      <c r="K22" s="130">
        <f t="shared" si="14"/>
        <v>12323</v>
      </c>
      <c r="L22" s="121">
        <f t="shared" si="2"/>
        <v>0</v>
      </c>
      <c r="M22" s="167">
        <f t="shared" si="3"/>
        <v>0</v>
      </c>
      <c r="N22" s="130">
        <f t="shared" si="4"/>
        <v>0</v>
      </c>
      <c r="O22" s="132">
        <f t="shared" si="15"/>
        <v>0</v>
      </c>
      <c r="P22" s="121">
        <f t="shared" si="16"/>
        <v>0</v>
      </c>
      <c r="Q22" s="132">
        <f t="shared" si="40"/>
        <v>0</v>
      </c>
      <c r="R22" s="131">
        <f t="shared" si="5"/>
        <v>0</v>
      </c>
      <c r="S22" s="121">
        <f t="shared" si="17"/>
        <v>0</v>
      </c>
      <c r="T22" s="121">
        <f>92000/C22/12</f>
        <v>2.239750706008375</v>
      </c>
      <c r="U22" s="132">
        <f t="shared" si="43"/>
        <v>2.24</v>
      </c>
      <c r="V22" s="131">
        <f t="shared" si="6"/>
        <v>92010.24</v>
      </c>
      <c r="W22" s="132">
        <f t="shared" si="18"/>
        <v>92010</v>
      </c>
      <c r="X22" s="121">
        <f t="shared" si="44"/>
        <v>0</v>
      </c>
      <c r="Y22" s="132">
        <f t="shared" si="19"/>
        <v>0</v>
      </c>
      <c r="Z22" s="130">
        <f t="shared" si="7"/>
        <v>0</v>
      </c>
      <c r="AA22" s="132">
        <f t="shared" si="20"/>
        <v>0</v>
      </c>
      <c r="AB22" s="167">
        <f t="shared" si="41"/>
        <v>0.23127860551173432</v>
      </c>
      <c r="AC22" s="132">
        <f t="shared" si="21"/>
        <v>0.23</v>
      </c>
      <c r="AD22" s="132">
        <f t="shared" si="8"/>
        <v>9447.480000000001</v>
      </c>
      <c r="AE22" s="226">
        <f t="shared" si="22"/>
        <v>9447</v>
      </c>
      <c r="AF22" s="167">
        <f t="shared" si="42"/>
        <v>0</v>
      </c>
      <c r="AG22" s="132">
        <f t="shared" si="23"/>
        <v>0</v>
      </c>
      <c r="AH22" s="132">
        <f t="shared" si="24"/>
        <v>0</v>
      </c>
      <c r="AI22" s="178">
        <f t="shared" si="25"/>
        <v>0</v>
      </c>
      <c r="AJ22" s="221">
        <f t="shared" si="26"/>
        <v>0.36517674554484375</v>
      </c>
      <c r="AK22" s="167">
        <f t="shared" si="27"/>
        <v>0.37</v>
      </c>
      <c r="AL22" s="218">
        <f t="shared" si="9"/>
        <v>15198.119999999999</v>
      </c>
      <c r="AM22" s="218">
        <f t="shared" si="28"/>
        <v>15198</v>
      </c>
      <c r="AN22" s="221">
        <f>32000/C22/12</f>
        <v>0.7790437238289999</v>
      </c>
      <c r="AO22" s="167">
        <f t="shared" si="30"/>
        <v>0.78</v>
      </c>
      <c r="AP22" s="218">
        <f t="shared" si="31"/>
        <v>32039.28</v>
      </c>
      <c r="AQ22" s="218">
        <f t="shared" si="32"/>
        <v>32039</v>
      </c>
      <c r="AR22" s="221">
        <f>6000/C22/12</f>
        <v>0.14607069821793747</v>
      </c>
      <c r="AS22" s="167">
        <f t="shared" si="33"/>
        <v>0.15</v>
      </c>
      <c r="AT22" s="218">
        <f t="shared" si="34"/>
        <v>6161.4</v>
      </c>
      <c r="AU22" s="218">
        <f t="shared" si="35"/>
        <v>6161</v>
      </c>
      <c r="AV22" s="200">
        <f t="shared" si="36"/>
        <v>4.07</v>
      </c>
      <c r="AW22" s="257">
        <f t="shared" si="37"/>
        <v>167179.31999999998</v>
      </c>
      <c r="AX22" s="122">
        <f t="shared" si="38"/>
        <v>167179</v>
      </c>
      <c r="AY22" s="250"/>
      <c r="AZ22" s="253"/>
      <c r="BA22" s="256"/>
      <c r="BB22" s="244"/>
    </row>
    <row r="23" spans="1:54" ht="15" customHeight="1">
      <c r="A23" s="238">
        <v>12</v>
      </c>
      <c r="B23" s="126" t="s">
        <v>54</v>
      </c>
      <c r="C23" s="132">
        <v>1685.2</v>
      </c>
      <c r="D23" s="122">
        <f t="shared" si="10"/>
        <v>0</v>
      </c>
      <c r="E23" s="132">
        <f t="shared" si="11"/>
        <v>0</v>
      </c>
      <c r="F23" s="132">
        <f t="shared" si="39"/>
        <v>0</v>
      </c>
      <c r="G23" s="132">
        <f t="shared" si="0"/>
        <v>0</v>
      </c>
      <c r="H23" s="232">
        <f t="shared" si="12"/>
        <v>0</v>
      </c>
      <c r="I23" s="132">
        <f t="shared" si="13"/>
        <v>0</v>
      </c>
      <c r="J23" s="132">
        <f t="shared" si="1"/>
        <v>0</v>
      </c>
      <c r="K23" s="130">
        <f t="shared" si="14"/>
        <v>0</v>
      </c>
      <c r="L23" s="121">
        <f>12000/C23/12</f>
        <v>0.593401376691194</v>
      </c>
      <c r="M23" s="167">
        <f t="shared" si="3"/>
        <v>0.59</v>
      </c>
      <c r="N23" s="130">
        <f t="shared" si="4"/>
        <v>11931.216</v>
      </c>
      <c r="O23" s="132">
        <f t="shared" si="15"/>
        <v>11931</v>
      </c>
      <c r="P23" s="121">
        <f t="shared" si="16"/>
        <v>0</v>
      </c>
      <c r="Q23" s="132">
        <f t="shared" si="40"/>
        <v>0</v>
      </c>
      <c r="R23" s="131">
        <f t="shared" si="5"/>
        <v>0</v>
      </c>
      <c r="S23" s="121">
        <f t="shared" si="17"/>
        <v>0</v>
      </c>
      <c r="T23" s="121">
        <f>96000/C23/12</f>
        <v>4.747211013529552</v>
      </c>
      <c r="U23" s="132">
        <f t="shared" si="43"/>
        <v>4.75</v>
      </c>
      <c r="V23" s="131">
        <f t="shared" si="6"/>
        <v>96056.4</v>
      </c>
      <c r="W23" s="132">
        <f t="shared" si="18"/>
        <v>96056</v>
      </c>
      <c r="X23" s="121">
        <f>0/C23/12</f>
        <v>0</v>
      </c>
      <c r="Y23" s="132">
        <f t="shared" si="19"/>
        <v>0</v>
      </c>
      <c r="Z23" s="130">
        <f t="shared" si="7"/>
        <v>0</v>
      </c>
      <c r="AA23" s="132">
        <f t="shared" si="20"/>
        <v>0</v>
      </c>
      <c r="AB23" s="167">
        <f t="shared" si="41"/>
        <v>0.46977608988052855</v>
      </c>
      <c r="AC23" s="132">
        <f t="shared" si="21"/>
        <v>0.47</v>
      </c>
      <c r="AD23" s="132">
        <f t="shared" si="8"/>
        <v>9504.528</v>
      </c>
      <c r="AE23" s="226">
        <f t="shared" si="22"/>
        <v>9505</v>
      </c>
      <c r="AF23" s="167">
        <f t="shared" si="42"/>
        <v>0</v>
      </c>
      <c r="AG23" s="132">
        <f t="shared" si="23"/>
        <v>0</v>
      </c>
      <c r="AH23" s="132">
        <f t="shared" si="24"/>
        <v>0</v>
      </c>
      <c r="AI23" s="178">
        <f t="shared" si="25"/>
        <v>0</v>
      </c>
      <c r="AJ23" s="221">
        <f t="shared" si="26"/>
        <v>0.7417517208639923</v>
      </c>
      <c r="AK23" s="167">
        <f t="shared" si="27"/>
        <v>0.74</v>
      </c>
      <c r="AL23" s="218">
        <f t="shared" si="9"/>
        <v>14964.576000000001</v>
      </c>
      <c r="AM23" s="218">
        <f t="shared" si="28"/>
        <v>14965</v>
      </c>
      <c r="AN23" s="221">
        <f t="shared" si="29"/>
        <v>0</v>
      </c>
      <c r="AO23" s="167">
        <f t="shared" si="30"/>
        <v>0</v>
      </c>
      <c r="AP23" s="218">
        <f t="shared" si="31"/>
        <v>0</v>
      </c>
      <c r="AQ23" s="218">
        <f t="shared" si="32"/>
        <v>0</v>
      </c>
      <c r="AR23" s="221">
        <f>2950/C23/12</f>
        <v>0.14587783843658517</v>
      </c>
      <c r="AS23" s="167">
        <f t="shared" si="33"/>
        <v>0.15</v>
      </c>
      <c r="AT23" s="218">
        <f t="shared" si="34"/>
        <v>3033.36</v>
      </c>
      <c r="AU23" s="218">
        <f t="shared" si="35"/>
        <v>3033</v>
      </c>
      <c r="AV23" s="200">
        <f t="shared" si="36"/>
        <v>6.7</v>
      </c>
      <c r="AW23" s="257">
        <f t="shared" si="37"/>
        <v>135490.08</v>
      </c>
      <c r="AX23" s="122">
        <f t="shared" si="38"/>
        <v>135490</v>
      </c>
      <c r="AY23" s="250"/>
      <c r="AZ23" s="253"/>
      <c r="BA23" s="256"/>
      <c r="BB23" s="244"/>
    </row>
    <row r="24" spans="1:54" ht="15" customHeight="1">
      <c r="A24" s="240">
        <v>13</v>
      </c>
      <c r="B24" s="126" t="s">
        <v>55</v>
      </c>
      <c r="C24" s="132">
        <v>3410.7</v>
      </c>
      <c r="D24" s="122">
        <f t="shared" si="10"/>
        <v>0</v>
      </c>
      <c r="E24" s="132">
        <f t="shared" si="11"/>
        <v>0</v>
      </c>
      <c r="F24" s="132">
        <f t="shared" si="39"/>
        <v>0</v>
      </c>
      <c r="G24" s="132">
        <f t="shared" si="0"/>
        <v>0</v>
      </c>
      <c r="H24" s="232">
        <f t="shared" si="12"/>
        <v>0</v>
      </c>
      <c r="I24" s="132">
        <f t="shared" si="13"/>
        <v>0</v>
      </c>
      <c r="J24" s="132">
        <f t="shared" si="1"/>
        <v>0</v>
      </c>
      <c r="K24" s="130">
        <f t="shared" si="14"/>
        <v>0</v>
      </c>
      <c r="L24" s="121">
        <f>24000/C24/12</f>
        <v>0.5863898906382854</v>
      </c>
      <c r="M24" s="167">
        <f t="shared" si="3"/>
        <v>0.59</v>
      </c>
      <c r="N24" s="130">
        <f t="shared" si="4"/>
        <v>24147.755999999998</v>
      </c>
      <c r="O24" s="132">
        <f t="shared" si="15"/>
        <v>24148</v>
      </c>
      <c r="P24" s="121">
        <f t="shared" si="16"/>
        <v>0</v>
      </c>
      <c r="Q24" s="132">
        <f t="shared" si="40"/>
        <v>0</v>
      </c>
      <c r="R24" s="131">
        <f t="shared" si="5"/>
        <v>0</v>
      </c>
      <c r="S24" s="121">
        <f t="shared" si="17"/>
        <v>0</v>
      </c>
      <c r="T24" s="121">
        <f>96000/C24/12</f>
        <v>2.3455595625531416</v>
      </c>
      <c r="U24" s="132">
        <f t="shared" si="43"/>
        <v>2.35</v>
      </c>
      <c r="V24" s="131">
        <f t="shared" si="6"/>
        <v>96181.73999999999</v>
      </c>
      <c r="W24" s="132">
        <f t="shared" si="18"/>
        <v>96182</v>
      </c>
      <c r="X24" s="121">
        <f>24000/C24/12</f>
        <v>0.5863898906382854</v>
      </c>
      <c r="Y24" s="132">
        <f t="shared" si="19"/>
        <v>0.59</v>
      </c>
      <c r="Z24" s="130">
        <f t="shared" si="7"/>
        <v>24147.755999999998</v>
      </c>
      <c r="AA24" s="132">
        <f t="shared" si="20"/>
        <v>24148</v>
      </c>
      <c r="AB24" s="167">
        <f t="shared" si="41"/>
        <v>0.2321126650443213</v>
      </c>
      <c r="AC24" s="132">
        <f t="shared" si="21"/>
        <v>0.23</v>
      </c>
      <c r="AD24" s="132">
        <f t="shared" si="8"/>
        <v>9413.532</v>
      </c>
      <c r="AE24" s="226">
        <f t="shared" si="22"/>
        <v>9414</v>
      </c>
      <c r="AF24" s="167">
        <f t="shared" si="42"/>
        <v>0</v>
      </c>
      <c r="AG24" s="132">
        <f t="shared" si="23"/>
        <v>0</v>
      </c>
      <c r="AH24" s="132">
        <f t="shared" si="24"/>
        <v>0</v>
      </c>
      <c r="AI24" s="178">
        <f t="shared" si="25"/>
        <v>0</v>
      </c>
      <c r="AJ24" s="221">
        <f t="shared" si="26"/>
        <v>0.36649368164892837</v>
      </c>
      <c r="AK24" s="167">
        <f t="shared" si="27"/>
        <v>0.37</v>
      </c>
      <c r="AL24" s="218">
        <f t="shared" si="9"/>
        <v>15143.507999999998</v>
      </c>
      <c r="AM24" s="218">
        <f t="shared" si="28"/>
        <v>15144</v>
      </c>
      <c r="AN24" s="221">
        <f t="shared" si="29"/>
        <v>0</v>
      </c>
      <c r="AO24" s="167">
        <f t="shared" si="30"/>
        <v>0</v>
      </c>
      <c r="AP24" s="218">
        <f t="shared" si="31"/>
        <v>0</v>
      </c>
      <c r="AQ24" s="218">
        <f t="shared" si="32"/>
        <v>0</v>
      </c>
      <c r="AR24" s="221">
        <f>5500/C24/12</f>
        <v>0.13438101660460708</v>
      </c>
      <c r="AS24" s="167">
        <f t="shared" si="33"/>
        <v>0.13</v>
      </c>
      <c r="AT24" s="218">
        <f t="shared" si="34"/>
        <v>5320.692</v>
      </c>
      <c r="AU24" s="218">
        <f t="shared" si="35"/>
        <v>5321</v>
      </c>
      <c r="AV24" s="200">
        <f t="shared" si="36"/>
        <v>4.26</v>
      </c>
      <c r="AW24" s="257">
        <f t="shared" si="37"/>
        <v>174354.984</v>
      </c>
      <c r="AX24" s="122">
        <f t="shared" si="38"/>
        <v>174355</v>
      </c>
      <c r="AY24" s="250"/>
      <c r="AZ24" s="253"/>
      <c r="BA24" s="256"/>
      <c r="BB24" s="244"/>
    </row>
    <row r="25" spans="1:54" ht="15" customHeight="1">
      <c r="A25" s="238">
        <v>14</v>
      </c>
      <c r="B25" s="126" t="s">
        <v>56</v>
      </c>
      <c r="C25" s="132">
        <v>1671</v>
      </c>
      <c r="D25" s="122">
        <f t="shared" si="10"/>
        <v>0</v>
      </c>
      <c r="E25" s="132">
        <f t="shared" si="11"/>
        <v>0</v>
      </c>
      <c r="F25" s="132">
        <f t="shared" si="39"/>
        <v>0</v>
      </c>
      <c r="G25" s="132">
        <f t="shared" si="0"/>
        <v>0</v>
      </c>
      <c r="H25" s="232">
        <f>0/C25/12</f>
        <v>0</v>
      </c>
      <c r="I25" s="132">
        <f t="shared" si="13"/>
        <v>0</v>
      </c>
      <c r="J25" s="132">
        <f t="shared" si="1"/>
        <v>0</v>
      </c>
      <c r="K25" s="130">
        <f t="shared" si="14"/>
        <v>0</v>
      </c>
      <c r="L25" s="121">
        <f t="shared" si="2"/>
        <v>0</v>
      </c>
      <c r="M25" s="167">
        <f t="shared" si="3"/>
        <v>0</v>
      </c>
      <c r="N25" s="130">
        <f t="shared" si="4"/>
        <v>0</v>
      </c>
      <c r="O25" s="132">
        <f t="shared" si="15"/>
        <v>0</v>
      </c>
      <c r="P25" s="121">
        <f t="shared" si="16"/>
        <v>0</v>
      </c>
      <c r="Q25" s="132">
        <f t="shared" si="40"/>
        <v>0</v>
      </c>
      <c r="R25" s="131">
        <f t="shared" si="5"/>
        <v>0</v>
      </c>
      <c r="S25" s="121">
        <f t="shared" si="17"/>
        <v>0</v>
      </c>
      <c r="T25" s="121">
        <f>95000/C25/12</f>
        <v>4.737682026730501</v>
      </c>
      <c r="U25" s="132">
        <f t="shared" si="43"/>
        <v>4.74</v>
      </c>
      <c r="V25" s="131">
        <f t="shared" si="6"/>
        <v>95046.48</v>
      </c>
      <c r="W25" s="132">
        <f t="shared" si="18"/>
        <v>95046</v>
      </c>
      <c r="X25" s="121">
        <f t="shared" si="44"/>
        <v>0</v>
      </c>
      <c r="Y25" s="132">
        <f t="shared" si="19"/>
        <v>0</v>
      </c>
      <c r="Z25" s="130">
        <f t="shared" si="7"/>
        <v>0</v>
      </c>
      <c r="AA25" s="132">
        <f t="shared" si="20"/>
        <v>0</v>
      </c>
      <c r="AB25" s="167">
        <f t="shared" si="41"/>
        <v>0.4737682026730501</v>
      </c>
      <c r="AC25" s="132">
        <f t="shared" si="21"/>
        <v>0.47</v>
      </c>
      <c r="AD25" s="132">
        <f t="shared" si="8"/>
        <v>9424.44</v>
      </c>
      <c r="AE25" s="226">
        <f t="shared" si="22"/>
        <v>9424</v>
      </c>
      <c r="AF25" s="167">
        <f t="shared" si="42"/>
        <v>0</v>
      </c>
      <c r="AG25" s="132">
        <f t="shared" si="23"/>
        <v>0</v>
      </c>
      <c r="AH25" s="132">
        <f t="shared" si="24"/>
        <v>0</v>
      </c>
      <c r="AI25" s="178">
        <f t="shared" si="25"/>
        <v>0</v>
      </c>
      <c r="AJ25" s="221">
        <f t="shared" si="26"/>
        <v>0.7480550568521843</v>
      </c>
      <c r="AK25" s="167">
        <f t="shared" si="27"/>
        <v>0.75</v>
      </c>
      <c r="AL25" s="218">
        <f t="shared" si="9"/>
        <v>15039</v>
      </c>
      <c r="AM25" s="218">
        <f t="shared" si="28"/>
        <v>15039</v>
      </c>
      <c r="AN25" s="221">
        <f t="shared" si="29"/>
        <v>0</v>
      </c>
      <c r="AO25" s="167">
        <f t="shared" si="30"/>
        <v>0</v>
      </c>
      <c r="AP25" s="218">
        <f t="shared" si="31"/>
        <v>0</v>
      </c>
      <c r="AQ25" s="218">
        <f t="shared" si="32"/>
        <v>0</v>
      </c>
      <c r="AR25" s="221">
        <f>3550/C25/12</f>
        <v>0.1770396967883503</v>
      </c>
      <c r="AS25" s="167">
        <f t="shared" si="33"/>
        <v>0.18</v>
      </c>
      <c r="AT25" s="218">
        <f t="shared" si="34"/>
        <v>3609.3599999999997</v>
      </c>
      <c r="AU25" s="218">
        <f t="shared" si="35"/>
        <v>3609</v>
      </c>
      <c r="AV25" s="200">
        <v>6.15</v>
      </c>
      <c r="AW25" s="257">
        <f t="shared" si="37"/>
        <v>123119.28</v>
      </c>
      <c r="AX25" s="122">
        <f t="shared" si="38"/>
        <v>123119</v>
      </c>
      <c r="AY25" s="250"/>
      <c r="AZ25" s="253"/>
      <c r="BA25" s="256"/>
      <c r="BB25" s="244"/>
    </row>
    <row r="26" spans="1:54" ht="15" customHeight="1">
      <c r="A26" s="239">
        <v>15</v>
      </c>
      <c r="B26" s="126" t="s">
        <v>57</v>
      </c>
      <c r="C26" s="132">
        <v>3441</v>
      </c>
      <c r="D26" s="122">
        <f>12000/C26/12</f>
        <v>0.2906131938390003</v>
      </c>
      <c r="E26" s="132">
        <f t="shared" si="11"/>
        <v>0.29</v>
      </c>
      <c r="F26" s="132">
        <f t="shared" si="39"/>
        <v>11974.68</v>
      </c>
      <c r="G26" s="132">
        <f t="shared" si="0"/>
        <v>11975</v>
      </c>
      <c r="H26" s="232">
        <f>15000/C26/12</f>
        <v>0.36326649229875035</v>
      </c>
      <c r="I26" s="132">
        <f t="shared" si="13"/>
        <v>0.4</v>
      </c>
      <c r="J26" s="132">
        <f t="shared" si="1"/>
        <v>16516.800000000003</v>
      </c>
      <c r="K26" s="130">
        <f t="shared" si="14"/>
        <v>16517</v>
      </c>
      <c r="L26" s="121">
        <f t="shared" si="2"/>
        <v>0</v>
      </c>
      <c r="M26" s="167">
        <f t="shared" si="3"/>
        <v>0</v>
      </c>
      <c r="N26" s="130">
        <f t="shared" si="4"/>
        <v>0</v>
      </c>
      <c r="O26" s="132">
        <f t="shared" si="15"/>
        <v>0</v>
      </c>
      <c r="P26" s="121">
        <f>21000/C26/12</f>
        <v>0.5085730892182505</v>
      </c>
      <c r="Q26" s="132">
        <f>ROUND(P26,2)</f>
        <v>0.51</v>
      </c>
      <c r="R26" s="131">
        <f t="shared" si="5"/>
        <v>21058.920000000002</v>
      </c>
      <c r="S26" s="121">
        <f t="shared" si="17"/>
        <v>21059</v>
      </c>
      <c r="T26" s="121">
        <f>91000/C26/12</f>
        <v>2.203816719945752</v>
      </c>
      <c r="U26" s="132">
        <f t="shared" si="43"/>
        <v>2.2</v>
      </c>
      <c r="V26" s="131">
        <f t="shared" si="6"/>
        <v>90842.40000000001</v>
      </c>
      <c r="W26" s="132">
        <f t="shared" si="18"/>
        <v>90842</v>
      </c>
      <c r="X26" s="121">
        <f t="shared" si="44"/>
        <v>0</v>
      </c>
      <c r="Y26" s="132">
        <f t="shared" si="19"/>
        <v>0</v>
      </c>
      <c r="Z26" s="130">
        <f t="shared" si="7"/>
        <v>0</v>
      </c>
      <c r="AA26" s="132">
        <f t="shared" si="20"/>
        <v>0</v>
      </c>
      <c r="AB26" s="167">
        <f t="shared" si="41"/>
        <v>0.23006877845587523</v>
      </c>
      <c r="AC26" s="132">
        <f t="shared" si="21"/>
        <v>0.23</v>
      </c>
      <c r="AD26" s="132">
        <f t="shared" si="8"/>
        <v>9497.16</v>
      </c>
      <c r="AE26" s="226">
        <f t="shared" si="22"/>
        <v>9497</v>
      </c>
      <c r="AF26" s="167">
        <f t="shared" si="42"/>
        <v>0</v>
      </c>
      <c r="AG26" s="132">
        <f t="shared" si="23"/>
        <v>0</v>
      </c>
      <c r="AH26" s="132">
        <f t="shared" si="24"/>
        <v>0</v>
      </c>
      <c r="AI26" s="178">
        <f t="shared" si="25"/>
        <v>0</v>
      </c>
      <c r="AJ26" s="221">
        <f t="shared" si="26"/>
        <v>0.36326649229875035</v>
      </c>
      <c r="AK26" s="167">
        <f t="shared" si="27"/>
        <v>0.36</v>
      </c>
      <c r="AL26" s="218">
        <f t="shared" si="9"/>
        <v>14865.119999999999</v>
      </c>
      <c r="AM26" s="218">
        <f t="shared" si="28"/>
        <v>14865</v>
      </c>
      <c r="AN26" s="221">
        <f>27000/C26/12</f>
        <v>0.6538796861377506</v>
      </c>
      <c r="AO26" s="167">
        <f t="shared" si="30"/>
        <v>0.65</v>
      </c>
      <c r="AP26" s="218">
        <f t="shared" si="31"/>
        <v>26839.800000000003</v>
      </c>
      <c r="AQ26" s="218">
        <f t="shared" si="32"/>
        <v>26840</v>
      </c>
      <c r="AR26" s="221">
        <f>5600/C26/12</f>
        <v>0.13561949045820013</v>
      </c>
      <c r="AS26" s="167">
        <f t="shared" si="33"/>
        <v>0.14</v>
      </c>
      <c r="AT26" s="218">
        <f t="shared" si="34"/>
        <v>5780.880000000001</v>
      </c>
      <c r="AU26" s="218">
        <f t="shared" si="35"/>
        <v>5781</v>
      </c>
      <c r="AV26" s="200">
        <v>4.79</v>
      </c>
      <c r="AW26" s="257">
        <f t="shared" si="37"/>
        <v>197375.76</v>
      </c>
      <c r="AX26" s="122">
        <f t="shared" si="38"/>
        <v>197376</v>
      </c>
      <c r="AY26" s="250"/>
      <c r="AZ26" s="253"/>
      <c r="BA26" s="256"/>
      <c r="BB26" s="244"/>
    </row>
    <row r="27" spans="1:54" ht="15" customHeight="1">
      <c r="A27" s="238">
        <v>16</v>
      </c>
      <c r="B27" s="126" t="s">
        <v>58</v>
      </c>
      <c r="C27" s="132">
        <v>1719.4</v>
      </c>
      <c r="D27" s="122">
        <f t="shared" si="10"/>
        <v>0</v>
      </c>
      <c r="E27" s="132">
        <f t="shared" si="11"/>
        <v>0</v>
      </c>
      <c r="F27" s="132">
        <f t="shared" si="39"/>
        <v>0</v>
      </c>
      <c r="G27" s="132">
        <f t="shared" si="0"/>
        <v>0</v>
      </c>
      <c r="H27" s="232">
        <f>15000/C27/12</f>
        <v>0.7269977899267186</v>
      </c>
      <c r="I27" s="132">
        <f>ROUND(H27,2)</f>
        <v>0.73</v>
      </c>
      <c r="J27" s="132">
        <f t="shared" si="1"/>
        <v>15061.944</v>
      </c>
      <c r="K27" s="130">
        <f t="shared" si="14"/>
        <v>15062</v>
      </c>
      <c r="L27" s="121">
        <f t="shared" si="2"/>
        <v>0</v>
      </c>
      <c r="M27" s="167">
        <f t="shared" si="3"/>
        <v>0</v>
      </c>
      <c r="N27" s="130">
        <f t="shared" si="4"/>
        <v>0</v>
      </c>
      <c r="O27" s="132">
        <f t="shared" si="15"/>
        <v>0</v>
      </c>
      <c r="P27" s="121">
        <f t="shared" si="16"/>
        <v>0</v>
      </c>
      <c r="Q27" s="132">
        <f t="shared" si="40"/>
        <v>0</v>
      </c>
      <c r="R27" s="131">
        <f t="shared" si="5"/>
        <v>0</v>
      </c>
      <c r="S27" s="121">
        <f t="shared" si="17"/>
        <v>0</v>
      </c>
      <c r="T27" s="121">
        <f>90000/C27/12</f>
        <v>4.361986739560312</v>
      </c>
      <c r="U27" s="132">
        <f t="shared" si="43"/>
        <v>4.36</v>
      </c>
      <c r="V27" s="131">
        <f t="shared" si="6"/>
        <v>89959.008</v>
      </c>
      <c r="W27" s="132">
        <f t="shared" si="18"/>
        <v>89959</v>
      </c>
      <c r="X27" s="121">
        <f t="shared" si="44"/>
        <v>0</v>
      </c>
      <c r="Y27" s="132">
        <f t="shared" si="19"/>
        <v>0</v>
      </c>
      <c r="Z27" s="130">
        <f t="shared" si="7"/>
        <v>0</v>
      </c>
      <c r="AA27" s="132">
        <f t="shared" si="20"/>
        <v>0</v>
      </c>
      <c r="AB27" s="167">
        <f t="shared" si="41"/>
        <v>0.4604319336202551</v>
      </c>
      <c r="AC27" s="132">
        <f t="shared" si="21"/>
        <v>0.46</v>
      </c>
      <c r="AD27" s="132">
        <f t="shared" si="8"/>
        <v>9491.088000000002</v>
      </c>
      <c r="AE27" s="226">
        <f t="shared" si="22"/>
        <v>9491</v>
      </c>
      <c r="AF27" s="167">
        <f t="shared" si="42"/>
        <v>0</v>
      </c>
      <c r="AG27" s="132">
        <f t="shared" si="23"/>
        <v>0</v>
      </c>
      <c r="AH27" s="132">
        <f t="shared" si="24"/>
        <v>0</v>
      </c>
      <c r="AI27" s="178">
        <f t="shared" si="25"/>
        <v>0</v>
      </c>
      <c r="AJ27" s="221">
        <f t="shared" si="26"/>
        <v>0.7269977899267186</v>
      </c>
      <c r="AK27" s="167">
        <f t="shared" si="27"/>
        <v>0.73</v>
      </c>
      <c r="AL27" s="218">
        <f t="shared" si="9"/>
        <v>15061.944</v>
      </c>
      <c r="AM27" s="218">
        <f t="shared" si="28"/>
        <v>15062</v>
      </c>
      <c r="AN27" s="221">
        <f t="shared" si="29"/>
        <v>0</v>
      </c>
      <c r="AO27" s="167">
        <f t="shared" si="30"/>
        <v>0</v>
      </c>
      <c r="AP27" s="218">
        <f t="shared" si="31"/>
        <v>0</v>
      </c>
      <c r="AQ27" s="218">
        <f t="shared" si="32"/>
        <v>0</v>
      </c>
      <c r="AR27" s="221">
        <f>2850/C27/12</f>
        <v>0.13812958008607654</v>
      </c>
      <c r="AS27" s="167">
        <f t="shared" si="33"/>
        <v>0.14</v>
      </c>
      <c r="AT27" s="218">
        <f t="shared" si="34"/>
        <v>2888.5920000000006</v>
      </c>
      <c r="AU27" s="218">
        <f t="shared" si="35"/>
        <v>2889</v>
      </c>
      <c r="AV27" s="200">
        <v>6.43</v>
      </c>
      <c r="AW27" s="257">
        <f t="shared" si="37"/>
        <v>132462.576</v>
      </c>
      <c r="AX27" s="122">
        <f t="shared" si="38"/>
        <v>132463</v>
      </c>
      <c r="AY27" s="250"/>
      <c r="AZ27" s="253"/>
      <c r="BA27" s="256"/>
      <c r="BB27" s="244"/>
    </row>
    <row r="28" spans="1:54" ht="15" customHeight="1">
      <c r="A28" s="239">
        <v>17</v>
      </c>
      <c r="B28" s="126" t="s">
        <v>59</v>
      </c>
      <c r="C28" s="132">
        <v>3365.23</v>
      </c>
      <c r="D28" s="122">
        <f>25000/C28/12</f>
        <v>0.6190760611706579</v>
      </c>
      <c r="E28" s="132">
        <f t="shared" si="11"/>
        <v>0.62</v>
      </c>
      <c r="F28" s="132">
        <f t="shared" si="39"/>
        <v>25037.311199999996</v>
      </c>
      <c r="G28" s="132">
        <f t="shared" si="0"/>
        <v>25037</v>
      </c>
      <c r="H28" s="232">
        <f>16000/C28/12</f>
        <v>0.39620867914922114</v>
      </c>
      <c r="I28" s="132">
        <f>ROUND(H28,2)</f>
        <v>0.4</v>
      </c>
      <c r="J28" s="132">
        <f t="shared" si="1"/>
        <v>16153.104000000001</v>
      </c>
      <c r="K28" s="130">
        <f t="shared" si="14"/>
        <v>16153</v>
      </c>
      <c r="L28" s="121">
        <f t="shared" si="2"/>
        <v>0</v>
      </c>
      <c r="M28" s="167">
        <f t="shared" si="3"/>
        <v>0</v>
      </c>
      <c r="N28" s="130">
        <f t="shared" si="4"/>
        <v>0</v>
      </c>
      <c r="O28" s="132">
        <f t="shared" si="15"/>
        <v>0</v>
      </c>
      <c r="P28" s="121">
        <f t="shared" si="16"/>
        <v>0</v>
      </c>
      <c r="Q28" s="132">
        <f t="shared" si="40"/>
        <v>0</v>
      </c>
      <c r="R28" s="131">
        <f t="shared" si="5"/>
        <v>0</v>
      </c>
      <c r="S28" s="121">
        <f t="shared" si="17"/>
        <v>0</v>
      </c>
      <c r="T28" s="121">
        <f>96000/C28/12</f>
        <v>2.3772520748953267</v>
      </c>
      <c r="U28" s="132">
        <f t="shared" si="43"/>
        <v>2.38</v>
      </c>
      <c r="V28" s="131">
        <f t="shared" si="6"/>
        <v>96110.96879999999</v>
      </c>
      <c r="W28" s="132">
        <f t="shared" si="18"/>
        <v>96111</v>
      </c>
      <c r="X28" s="121">
        <f t="shared" si="44"/>
        <v>0</v>
      </c>
      <c r="Y28" s="132">
        <f t="shared" si="19"/>
        <v>0</v>
      </c>
      <c r="Z28" s="130">
        <f t="shared" si="7"/>
        <v>0</v>
      </c>
      <c r="AA28" s="132">
        <f t="shared" si="20"/>
        <v>0</v>
      </c>
      <c r="AB28" s="167">
        <f t="shared" si="41"/>
        <v>0.23524890324485004</v>
      </c>
      <c r="AC28" s="132">
        <f t="shared" si="21"/>
        <v>0.24</v>
      </c>
      <c r="AD28" s="132">
        <f t="shared" si="8"/>
        <v>9691.862399999998</v>
      </c>
      <c r="AE28" s="226">
        <f t="shared" si="22"/>
        <v>9692</v>
      </c>
      <c r="AF28" s="167">
        <f t="shared" si="42"/>
        <v>0</v>
      </c>
      <c r="AG28" s="132">
        <f t="shared" si="23"/>
        <v>0</v>
      </c>
      <c r="AH28" s="132">
        <f t="shared" si="24"/>
        <v>0</v>
      </c>
      <c r="AI28" s="178">
        <f t="shared" si="25"/>
        <v>0</v>
      </c>
      <c r="AJ28" s="221">
        <f t="shared" si="26"/>
        <v>0.3714456367023948</v>
      </c>
      <c r="AK28" s="167">
        <f t="shared" si="27"/>
        <v>0.37</v>
      </c>
      <c r="AL28" s="218">
        <f t="shared" si="9"/>
        <v>14941.6212</v>
      </c>
      <c r="AM28" s="218">
        <f t="shared" si="28"/>
        <v>14942</v>
      </c>
      <c r="AN28" s="221">
        <f t="shared" si="29"/>
        <v>0</v>
      </c>
      <c r="AO28" s="167">
        <f t="shared" si="30"/>
        <v>0</v>
      </c>
      <c r="AP28" s="218">
        <f t="shared" si="31"/>
        <v>0</v>
      </c>
      <c r="AQ28" s="218">
        <f t="shared" si="32"/>
        <v>0</v>
      </c>
      <c r="AR28" s="221">
        <f>5100/C28/12</f>
        <v>0.12629151647881423</v>
      </c>
      <c r="AS28" s="167">
        <f t="shared" si="33"/>
        <v>0.13</v>
      </c>
      <c r="AT28" s="218">
        <f t="shared" si="34"/>
        <v>5249.7588000000005</v>
      </c>
      <c r="AU28" s="218">
        <f t="shared" si="35"/>
        <v>5250</v>
      </c>
      <c r="AV28" s="200">
        <f t="shared" si="36"/>
        <v>4.14</v>
      </c>
      <c r="AW28" s="257">
        <f t="shared" si="37"/>
        <v>167184.6264</v>
      </c>
      <c r="AX28" s="122">
        <f t="shared" si="38"/>
        <v>167185</v>
      </c>
      <c r="AY28" s="250"/>
      <c r="AZ28" s="253"/>
      <c r="BA28" s="256"/>
      <c r="BB28" s="244"/>
    </row>
    <row r="29" spans="1:54" ht="15" customHeight="1">
      <c r="A29" s="241">
        <v>18</v>
      </c>
      <c r="B29" s="126" t="s">
        <v>60</v>
      </c>
      <c r="C29" s="132">
        <v>3462.6</v>
      </c>
      <c r="D29" s="122">
        <f>55000/C29/12</f>
        <v>1.3236681491749938</v>
      </c>
      <c r="E29" s="132">
        <f t="shared" si="11"/>
        <v>1.32</v>
      </c>
      <c r="F29" s="132">
        <f t="shared" si="39"/>
        <v>54847.584</v>
      </c>
      <c r="G29" s="132">
        <f t="shared" si="0"/>
        <v>54848</v>
      </c>
      <c r="H29" s="232">
        <f t="shared" si="12"/>
        <v>0</v>
      </c>
      <c r="I29" s="132">
        <f t="shared" si="13"/>
        <v>0</v>
      </c>
      <c r="J29" s="132">
        <f t="shared" si="1"/>
        <v>0</v>
      </c>
      <c r="K29" s="130">
        <f t="shared" si="14"/>
        <v>0</v>
      </c>
      <c r="L29" s="121">
        <f>11000/C29/12</f>
        <v>0.26473362983499876</v>
      </c>
      <c r="M29" s="167">
        <f t="shared" si="3"/>
        <v>0.26</v>
      </c>
      <c r="N29" s="130">
        <f t="shared" si="4"/>
        <v>10803.312</v>
      </c>
      <c r="O29" s="132">
        <f t="shared" si="15"/>
        <v>10803</v>
      </c>
      <c r="P29" s="121">
        <f t="shared" si="16"/>
        <v>0</v>
      </c>
      <c r="Q29" s="132">
        <f t="shared" si="40"/>
        <v>0</v>
      </c>
      <c r="R29" s="131">
        <f t="shared" si="5"/>
        <v>0</v>
      </c>
      <c r="S29" s="121">
        <f t="shared" si="17"/>
        <v>0</v>
      </c>
      <c r="T29" s="121">
        <f>96000/C29/12</f>
        <v>2.310402587650898</v>
      </c>
      <c r="U29" s="132">
        <f t="shared" si="43"/>
        <v>2.31</v>
      </c>
      <c r="V29" s="131">
        <f t="shared" si="6"/>
        <v>95983.272</v>
      </c>
      <c r="W29" s="132">
        <f t="shared" si="18"/>
        <v>95983</v>
      </c>
      <c r="X29" s="121">
        <f>12000/C29/12</f>
        <v>0.28880032345636225</v>
      </c>
      <c r="Y29" s="132">
        <f t="shared" si="19"/>
        <v>0.29</v>
      </c>
      <c r="Z29" s="130">
        <f t="shared" si="7"/>
        <v>12049.847999999998</v>
      </c>
      <c r="AA29" s="132">
        <f t="shared" si="20"/>
        <v>12050</v>
      </c>
      <c r="AB29" s="167">
        <f t="shared" si="41"/>
        <v>0.22863358940295345</v>
      </c>
      <c r="AC29" s="132">
        <f t="shared" si="21"/>
        <v>0.23</v>
      </c>
      <c r="AD29" s="132">
        <f t="shared" si="8"/>
        <v>9556.776</v>
      </c>
      <c r="AE29" s="226">
        <f t="shared" si="22"/>
        <v>9557</v>
      </c>
      <c r="AF29" s="167">
        <f t="shared" si="42"/>
        <v>0</v>
      </c>
      <c r="AG29" s="132">
        <f t="shared" si="23"/>
        <v>0</v>
      </c>
      <c r="AH29" s="132">
        <f t="shared" si="24"/>
        <v>0</v>
      </c>
      <c r="AI29" s="217">
        <f t="shared" si="25"/>
        <v>0</v>
      </c>
      <c r="AJ29" s="221">
        <f t="shared" si="26"/>
        <v>0.3610004043204529</v>
      </c>
      <c r="AK29" s="167">
        <f t="shared" si="27"/>
        <v>0.36</v>
      </c>
      <c r="AL29" s="218">
        <f t="shared" si="9"/>
        <v>14958.431999999997</v>
      </c>
      <c r="AM29" s="218">
        <f t="shared" si="28"/>
        <v>14958</v>
      </c>
      <c r="AN29" s="221">
        <f t="shared" si="29"/>
        <v>0</v>
      </c>
      <c r="AO29" s="167">
        <f t="shared" si="30"/>
        <v>0</v>
      </c>
      <c r="AP29" s="218">
        <f t="shared" si="31"/>
        <v>0</v>
      </c>
      <c r="AQ29" s="218">
        <f t="shared" si="32"/>
        <v>0</v>
      </c>
      <c r="AR29" s="221">
        <f>4800/C29/12</f>
        <v>0.11552012938254491</v>
      </c>
      <c r="AS29" s="167">
        <f t="shared" si="33"/>
        <v>0.12</v>
      </c>
      <c r="AT29" s="218">
        <f t="shared" si="34"/>
        <v>4986.144</v>
      </c>
      <c r="AU29" s="218">
        <f t="shared" si="35"/>
        <v>4986</v>
      </c>
      <c r="AV29" s="200">
        <f t="shared" si="36"/>
        <v>4.890000000000001</v>
      </c>
      <c r="AW29" s="257">
        <f t="shared" si="37"/>
        <v>203185.36800000002</v>
      </c>
      <c r="AX29" s="122">
        <f t="shared" si="38"/>
        <v>203185</v>
      </c>
      <c r="AY29" s="250"/>
      <c r="AZ29" s="253"/>
      <c r="BA29" s="256"/>
      <c r="BB29" s="244"/>
    </row>
    <row r="30" spans="1:54" ht="15" customHeight="1">
      <c r="A30" s="239">
        <v>19</v>
      </c>
      <c r="B30" s="126" t="s">
        <v>61</v>
      </c>
      <c r="C30" s="132">
        <v>1705.3</v>
      </c>
      <c r="D30" s="122">
        <f>45000/C30/12</f>
        <v>2.199026564240896</v>
      </c>
      <c r="E30" s="132">
        <f t="shared" si="11"/>
        <v>2.2</v>
      </c>
      <c r="F30" s="132">
        <f t="shared" si="39"/>
        <v>45019.920000000006</v>
      </c>
      <c r="G30" s="132">
        <f t="shared" si="0"/>
        <v>45020</v>
      </c>
      <c r="H30" s="232">
        <f t="shared" si="12"/>
        <v>0</v>
      </c>
      <c r="I30" s="132">
        <f t="shared" si="13"/>
        <v>0</v>
      </c>
      <c r="J30" s="132">
        <f t="shared" si="1"/>
        <v>0</v>
      </c>
      <c r="K30" s="130">
        <f t="shared" si="14"/>
        <v>0</v>
      </c>
      <c r="L30" s="121">
        <f>11000/C30/12</f>
        <v>0.5375398268144412</v>
      </c>
      <c r="M30" s="167">
        <f t="shared" si="3"/>
        <v>0.54</v>
      </c>
      <c r="N30" s="130">
        <f t="shared" si="4"/>
        <v>11050.344000000001</v>
      </c>
      <c r="O30" s="132">
        <f t="shared" si="15"/>
        <v>11050</v>
      </c>
      <c r="P30" s="121">
        <f t="shared" si="16"/>
        <v>0</v>
      </c>
      <c r="Q30" s="132">
        <f t="shared" si="40"/>
        <v>0</v>
      </c>
      <c r="R30" s="131">
        <f t="shared" si="5"/>
        <v>0</v>
      </c>
      <c r="S30" s="121">
        <f t="shared" si="17"/>
        <v>0</v>
      </c>
      <c r="T30" s="121">
        <f>0/C30/12</f>
        <v>0</v>
      </c>
      <c r="U30" s="132">
        <f t="shared" si="43"/>
        <v>0</v>
      </c>
      <c r="V30" s="131">
        <f t="shared" si="6"/>
        <v>0</v>
      </c>
      <c r="W30" s="132">
        <f t="shared" si="18"/>
        <v>0</v>
      </c>
      <c r="X30" s="121">
        <f t="shared" si="44"/>
        <v>0</v>
      </c>
      <c r="Y30" s="132">
        <f t="shared" si="19"/>
        <v>0</v>
      </c>
      <c r="Z30" s="130">
        <f t="shared" si="7"/>
        <v>0</v>
      </c>
      <c r="AA30" s="132">
        <f t="shared" si="20"/>
        <v>0</v>
      </c>
      <c r="AB30" s="167">
        <f t="shared" si="41"/>
        <v>0.46423894133974475</v>
      </c>
      <c r="AC30" s="132">
        <f t="shared" si="21"/>
        <v>0.46</v>
      </c>
      <c r="AD30" s="132">
        <f t="shared" si="8"/>
        <v>9413.256</v>
      </c>
      <c r="AE30" s="226">
        <f t="shared" si="22"/>
        <v>9413</v>
      </c>
      <c r="AF30" s="167">
        <f t="shared" si="42"/>
        <v>0</v>
      </c>
      <c r="AG30" s="132">
        <f t="shared" si="23"/>
        <v>0</v>
      </c>
      <c r="AH30" s="132">
        <f t="shared" si="24"/>
        <v>0</v>
      </c>
      <c r="AI30" s="178">
        <f t="shared" si="25"/>
        <v>0</v>
      </c>
      <c r="AJ30" s="221">
        <f t="shared" si="26"/>
        <v>0.7330088547469654</v>
      </c>
      <c r="AK30" s="167">
        <f t="shared" si="27"/>
        <v>0.73</v>
      </c>
      <c r="AL30" s="218">
        <f t="shared" si="9"/>
        <v>14938.428</v>
      </c>
      <c r="AM30" s="218">
        <f t="shared" si="28"/>
        <v>14938</v>
      </c>
      <c r="AN30" s="221">
        <f t="shared" si="29"/>
        <v>0</v>
      </c>
      <c r="AO30" s="167">
        <f t="shared" si="30"/>
        <v>0</v>
      </c>
      <c r="AP30" s="218">
        <f t="shared" si="31"/>
        <v>0</v>
      </c>
      <c r="AQ30" s="218">
        <f t="shared" si="32"/>
        <v>0</v>
      </c>
      <c r="AR30" s="221">
        <f>3100/C30/12</f>
        <v>0.15148849664770617</v>
      </c>
      <c r="AS30" s="167">
        <f t="shared" si="33"/>
        <v>0.15</v>
      </c>
      <c r="AT30" s="218">
        <f t="shared" si="34"/>
        <v>3069.54</v>
      </c>
      <c r="AU30" s="218">
        <f t="shared" si="35"/>
        <v>3070</v>
      </c>
      <c r="AV30" s="200">
        <f t="shared" si="36"/>
        <v>4.08</v>
      </c>
      <c r="AW30" s="257">
        <f t="shared" si="37"/>
        <v>83491.488</v>
      </c>
      <c r="AX30" s="122">
        <f t="shared" si="38"/>
        <v>83491</v>
      </c>
      <c r="AY30" s="250"/>
      <c r="AZ30" s="253"/>
      <c r="BA30" s="256"/>
      <c r="BB30" s="244"/>
    </row>
    <row r="31" spans="1:54" ht="15" customHeight="1">
      <c r="A31" s="242">
        <v>20</v>
      </c>
      <c r="B31" s="126" t="s">
        <v>64</v>
      </c>
      <c r="C31" s="132">
        <v>5775</v>
      </c>
      <c r="D31" s="122">
        <f t="shared" si="10"/>
        <v>0</v>
      </c>
      <c r="E31" s="132">
        <f t="shared" si="11"/>
        <v>0</v>
      </c>
      <c r="F31" s="132">
        <f t="shared" si="39"/>
        <v>0</v>
      </c>
      <c r="G31" s="132">
        <f t="shared" si="0"/>
        <v>0</v>
      </c>
      <c r="H31" s="232">
        <f t="shared" si="12"/>
        <v>0</v>
      </c>
      <c r="I31" s="132">
        <f t="shared" si="13"/>
        <v>0</v>
      </c>
      <c r="J31" s="132">
        <f t="shared" si="1"/>
        <v>0</v>
      </c>
      <c r="K31" s="130">
        <f t="shared" si="14"/>
        <v>0</v>
      </c>
      <c r="L31" s="121">
        <f>10000/C31/12</f>
        <v>0.1443001443001443</v>
      </c>
      <c r="M31" s="167">
        <f t="shared" si="3"/>
        <v>0.14</v>
      </c>
      <c r="N31" s="130">
        <f t="shared" si="4"/>
        <v>9702.000000000002</v>
      </c>
      <c r="O31" s="132">
        <f t="shared" si="15"/>
        <v>9702</v>
      </c>
      <c r="P31" s="121">
        <f>9000/C31/12</f>
        <v>0.12987012987012989</v>
      </c>
      <c r="Q31" s="132">
        <f>ROUND(P31,2)</f>
        <v>0.13</v>
      </c>
      <c r="R31" s="131">
        <f>Q31*C31*12</f>
        <v>9009</v>
      </c>
      <c r="S31" s="121">
        <f t="shared" si="17"/>
        <v>9009</v>
      </c>
      <c r="T31" s="121">
        <f>0/C31/12</f>
        <v>0</v>
      </c>
      <c r="U31" s="132">
        <f t="shared" si="43"/>
        <v>0</v>
      </c>
      <c r="V31" s="131">
        <f t="shared" si="6"/>
        <v>0</v>
      </c>
      <c r="W31" s="132">
        <f t="shared" si="18"/>
        <v>0</v>
      </c>
      <c r="X31" s="121">
        <f>174000/C31/12</f>
        <v>2.510822510822511</v>
      </c>
      <c r="Y31" s="132">
        <f t="shared" si="19"/>
        <v>2.51</v>
      </c>
      <c r="Z31" s="130">
        <f t="shared" si="7"/>
        <v>173942.99999999997</v>
      </c>
      <c r="AA31" s="132">
        <f t="shared" si="20"/>
        <v>173943</v>
      </c>
      <c r="AB31" s="167">
        <f t="shared" si="41"/>
        <v>0.1370851370851371</v>
      </c>
      <c r="AC31" s="132">
        <f t="shared" si="21"/>
        <v>0.14</v>
      </c>
      <c r="AD31" s="132">
        <f t="shared" si="8"/>
        <v>9702.000000000002</v>
      </c>
      <c r="AE31" s="226">
        <f t="shared" si="22"/>
        <v>9702</v>
      </c>
      <c r="AF31" s="167">
        <f>6000/C31/12</f>
        <v>0.08658008658008658</v>
      </c>
      <c r="AG31" s="132">
        <f t="shared" si="23"/>
        <v>0.09</v>
      </c>
      <c r="AH31" s="132">
        <f t="shared" si="24"/>
        <v>6237</v>
      </c>
      <c r="AI31" s="178">
        <f t="shared" si="25"/>
        <v>6237</v>
      </c>
      <c r="AJ31" s="221">
        <f t="shared" si="26"/>
        <v>0.21645021645021645</v>
      </c>
      <c r="AK31" s="167">
        <f t="shared" si="27"/>
        <v>0.22</v>
      </c>
      <c r="AL31" s="218">
        <f t="shared" si="9"/>
        <v>15246</v>
      </c>
      <c r="AM31" s="218">
        <f t="shared" si="28"/>
        <v>15246</v>
      </c>
      <c r="AN31" s="221">
        <f t="shared" si="29"/>
        <v>0</v>
      </c>
      <c r="AO31" s="167">
        <f t="shared" si="30"/>
        <v>0</v>
      </c>
      <c r="AP31" s="218">
        <f t="shared" si="31"/>
        <v>0</v>
      </c>
      <c r="AQ31" s="218">
        <f t="shared" si="32"/>
        <v>0</v>
      </c>
      <c r="AR31" s="221">
        <f>6100/C31/12</f>
        <v>0.08802308802308802</v>
      </c>
      <c r="AS31" s="167">
        <f t="shared" si="33"/>
        <v>0.09</v>
      </c>
      <c r="AT31" s="218">
        <f t="shared" si="34"/>
        <v>6237</v>
      </c>
      <c r="AU31" s="218">
        <f t="shared" si="35"/>
        <v>6237</v>
      </c>
      <c r="AV31" s="200">
        <f t="shared" si="36"/>
        <v>3.32</v>
      </c>
      <c r="AW31" s="257">
        <f t="shared" si="37"/>
        <v>230075.99999999997</v>
      </c>
      <c r="AX31" s="122">
        <f t="shared" si="38"/>
        <v>230076</v>
      </c>
      <c r="AY31" s="250"/>
      <c r="AZ31" s="253"/>
      <c r="BA31" s="256"/>
      <c r="BB31" s="244"/>
    </row>
    <row r="32" spans="1:54" ht="15" customHeight="1">
      <c r="A32" s="239">
        <v>21</v>
      </c>
      <c r="B32" s="127" t="s">
        <v>65</v>
      </c>
      <c r="C32" s="132">
        <v>3855</v>
      </c>
      <c r="D32" s="122">
        <f t="shared" si="10"/>
        <v>0</v>
      </c>
      <c r="E32" s="132">
        <f t="shared" si="11"/>
        <v>0</v>
      </c>
      <c r="F32" s="132">
        <f t="shared" si="39"/>
        <v>0</v>
      </c>
      <c r="G32" s="132">
        <f t="shared" si="0"/>
        <v>0</v>
      </c>
      <c r="H32" s="232">
        <f t="shared" si="12"/>
        <v>0</v>
      </c>
      <c r="I32" s="132">
        <f t="shared" si="13"/>
        <v>0</v>
      </c>
      <c r="J32" s="132">
        <f t="shared" si="1"/>
        <v>0</v>
      </c>
      <c r="K32" s="130">
        <f t="shared" si="14"/>
        <v>0</v>
      </c>
      <c r="L32" s="121">
        <f t="shared" si="2"/>
        <v>0</v>
      </c>
      <c r="M32" s="167">
        <f t="shared" si="3"/>
        <v>0</v>
      </c>
      <c r="N32" s="130">
        <f t="shared" si="4"/>
        <v>0</v>
      </c>
      <c r="O32" s="132">
        <f t="shared" si="15"/>
        <v>0</v>
      </c>
      <c r="P32" s="121">
        <f t="shared" si="16"/>
        <v>0</v>
      </c>
      <c r="Q32" s="132">
        <f t="shared" si="40"/>
        <v>0</v>
      </c>
      <c r="R32" s="131">
        <f t="shared" si="5"/>
        <v>0</v>
      </c>
      <c r="S32" s="121">
        <f t="shared" si="17"/>
        <v>0</v>
      </c>
      <c r="T32" s="121">
        <f>150000/C32/12</f>
        <v>3.242542153047989</v>
      </c>
      <c r="U32" s="132">
        <f t="shared" si="43"/>
        <v>3.24</v>
      </c>
      <c r="V32" s="131">
        <f t="shared" si="6"/>
        <v>149882.40000000002</v>
      </c>
      <c r="W32" s="132">
        <f t="shared" si="18"/>
        <v>149882</v>
      </c>
      <c r="X32" s="121">
        <f t="shared" si="44"/>
        <v>0</v>
      </c>
      <c r="Y32" s="132">
        <f t="shared" si="19"/>
        <v>0</v>
      </c>
      <c r="Z32" s="130">
        <f t="shared" si="7"/>
        <v>0</v>
      </c>
      <c r="AA32" s="132">
        <f t="shared" si="20"/>
        <v>0</v>
      </c>
      <c r="AB32" s="167">
        <f t="shared" si="41"/>
        <v>0.2053610030263727</v>
      </c>
      <c r="AC32" s="132">
        <f t="shared" si="21"/>
        <v>0.21</v>
      </c>
      <c r="AD32" s="132">
        <f t="shared" si="8"/>
        <v>9714.599999999999</v>
      </c>
      <c r="AE32" s="226">
        <f t="shared" si="22"/>
        <v>9715</v>
      </c>
      <c r="AF32" s="167">
        <f t="shared" si="42"/>
        <v>0</v>
      </c>
      <c r="AG32" s="132">
        <f t="shared" si="23"/>
        <v>0</v>
      </c>
      <c r="AH32" s="132">
        <f t="shared" si="24"/>
        <v>0</v>
      </c>
      <c r="AI32" s="178">
        <f t="shared" si="25"/>
        <v>0</v>
      </c>
      <c r="AJ32" s="221">
        <f t="shared" si="26"/>
        <v>0.324254215304799</v>
      </c>
      <c r="AK32" s="167">
        <f t="shared" si="27"/>
        <v>0.32</v>
      </c>
      <c r="AL32" s="218">
        <f t="shared" si="9"/>
        <v>14803.2</v>
      </c>
      <c r="AM32" s="218">
        <f t="shared" si="28"/>
        <v>14803</v>
      </c>
      <c r="AN32" s="221">
        <f t="shared" si="29"/>
        <v>0</v>
      </c>
      <c r="AO32" s="167">
        <f t="shared" si="30"/>
        <v>0</v>
      </c>
      <c r="AP32" s="218">
        <f t="shared" si="31"/>
        <v>0</v>
      </c>
      <c r="AQ32" s="218">
        <f t="shared" si="32"/>
        <v>0</v>
      </c>
      <c r="AR32" s="221">
        <f>5950/C32/12</f>
        <v>0.12862083873757027</v>
      </c>
      <c r="AS32" s="167">
        <f t="shared" si="33"/>
        <v>0.13</v>
      </c>
      <c r="AT32" s="218">
        <f t="shared" si="34"/>
        <v>6013.8</v>
      </c>
      <c r="AU32" s="218">
        <f t="shared" si="35"/>
        <v>6014</v>
      </c>
      <c r="AV32" s="200">
        <f t="shared" si="36"/>
        <v>3.9</v>
      </c>
      <c r="AW32" s="257">
        <f t="shared" si="37"/>
        <v>180414.00000000003</v>
      </c>
      <c r="AX32" s="122">
        <f t="shared" si="38"/>
        <v>180414</v>
      </c>
      <c r="AY32" s="250"/>
      <c r="AZ32" s="253"/>
      <c r="BA32" s="256"/>
      <c r="BB32" s="244"/>
    </row>
    <row r="33" spans="1:54" ht="15" customHeight="1">
      <c r="A33" s="239">
        <v>22</v>
      </c>
      <c r="B33" s="126" t="s">
        <v>66</v>
      </c>
      <c r="C33" s="132">
        <v>5857.63</v>
      </c>
      <c r="D33" s="122">
        <f t="shared" si="10"/>
        <v>0</v>
      </c>
      <c r="E33" s="132">
        <f t="shared" si="11"/>
        <v>0</v>
      </c>
      <c r="F33" s="132">
        <f t="shared" si="39"/>
        <v>0</v>
      </c>
      <c r="G33" s="132">
        <f t="shared" si="0"/>
        <v>0</v>
      </c>
      <c r="H33" s="232">
        <f t="shared" si="12"/>
        <v>0</v>
      </c>
      <c r="I33" s="132">
        <f t="shared" si="13"/>
        <v>0</v>
      </c>
      <c r="J33" s="132">
        <f t="shared" si="1"/>
        <v>0</v>
      </c>
      <c r="K33" s="130">
        <f t="shared" si="14"/>
        <v>0</v>
      </c>
      <c r="L33" s="121">
        <f>11000/C33/12</f>
        <v>0.1564910495655524</v>
      </c>
      <c r="M33" s="167">
        <f t="shared" si="3"/>
        <v>0.16</v>
      </c>
      <c r="N33" s="130">
        <f t="shared" si="4"/>
        <v>11246.6496</v>
      </c>
      <c r="O33" s="132">
        <f t="shared" si="15"/>
        <v>11247</v>
      </c>
      <c r="P33" s="121">
        <f t="shared" si="16"/>
        <v>0</v>
      </c>
      <c r="Q33" s="132">
        <f t="shared" si="40"/>
        <v>0</v>
      </c>
      <c r="R33" s="131">
        <f t="shared" si="5"/>
        <v>0</v>
      </c>
      <c r="S33" s="121">
        <f t="shared" si="17"/>
        <v>0</v>
      </c>
      <c r="T33" s="121">
        <f>145000/C33/12</f>
        <v>2.0628365624550087</v>
      </c>
      <c r="U33" s="132">
        <f t="shared" si="43"/>
        <v>2.06</v>
      </c>
      <c r="V33" s="131">
        <f t="shared" si="6"/>
        <v>144800.6136</v>
      </c>
      <c r="W33" s="132">
        <f t="shared" si="18"/>
        <v>144801</v>
      </c>
      <c r="X33" s="121">
        <f t="shared" si="44"/>
        <v>0</v>
      </c>
      <c r="Y33" s="132">
        <f t="shared" si="19"/>
        <v>0</v>
      </c>
      <c r="Z33" s="130">
        <f t="shared" si="7"/>
        <v>0</v>
      </c>
      <c r="AA33" s="132">
        <f t="shared" si="20"/>
        <v>0</v>
      </c>
      <c r="AB33" s="167">
        <f t="shared" si="41"/>
        <v>0.1351513609884316</v>
      </c>
      <c r="AC33" s="132">
        <f t="shared" si="21"/>
        <v>0.14</v>
      </c>
      <c r="AD33" s="132">
        <f t="shared" si="8"/>
        <v>9840.8184</v>
      </c>
      <c r="AE33" s="226">
        <f t="shared" si="22"/>
        <v>9841</v>
      </c>
      <c r="AF33" s="167">
        <f>10000/C33/12</f>
        <v>0.14226459051413853</v>
      </c>
      <c r="AG33" s="132">
        <f t="shared" si="23"/>
        <v>0.14</v>
      </c>
      <c r="AH33" s="132">
        <f t="shared" si="24"/>
        <v>9840.8184</v>
      </c>
      <c r="AI33" s="178">
        <f t="shared" si="25"/>
        <v>9841</v>
      </c>
      <c r="AJ33" s="221">
        <f t="shared" si="26"/>
        <v>0.21339688577120783</v>
      </c>
      <c r="AK33" s="167">
        <f t="shared" si="27"/>
        <v>0.21</v>
      </c>
      <c r="AL33" s="218">
        <f t="shared" si="9"/>
        <v>14761.2276</v>
      </c>
      <c r="AM33" s="218">
        <f t="shared" si="28"/>
        <v>14761</v>
      </c>
      <c r="AN33" s="221">
        <f>35000/C33/12</f>
        <v>0.49792606679948487</v>
      </c>
      <c r="AO33" s="167">
        <f t="shared" si="30"/>
        <v>0.5</v>
      </c>
      <c r="AP33" s="218">
        <f t="shared" si="31"/>
        <v>35145.78</v>
      </c>
      <c r="AQ33" s="218">
        <f t="shared" si="32"/>
        <v>35146</v>
      </c>
      <c r="AR33" s="221">
        <f>7350/C33/12</f>
        <v>0.10456447402789182</v>
      </c>
      <c r="AS33" s="167">
        <f t="shared" si="33"/>
        <v>0.1</v>
      </c>
      <c r="AT33" s="218">
        <f t="shared" si="34"/>
        <v>7029.156000000001</v>
      </c>
      <c r="AU33" s="218">
        <f t="shared" si="35"/>
        <v>7029</v>
      </c>
      <c r="AV33" s="200">
        <f t="shared" si="36"/>
        <v>3.3100000000000005</v>
      </c>
      <c r="AW33" s="257">
        <f t="shared" si="37"/>
        <v>232665.0636</v>
      </c>
      <c r="AX33" s="122">
        <f t="shared" si="38"/>
        <v>232665</v>
      </c>
      <c r="AY33" s="250"/>
      <c r="AZ33" s="253"/>
      <c r="BA33" s="256"/>
      <c r="BB33" s="244"/>
    </row>
    <row r="34" spans="1:54" ht="15" customHeight="1">
      <c r="A34" s="239">
        <v>23</v>
      </c>
      <c r="B34" s="126" t="s">
        <v>67</v>
      </c>
      <c r="C34" s="132">
        <v>3843.92</v>
      </c>
      <c r="D34" s="122">
        <f t="shared" si="10"/>
        <v>0</v>
      </c>
      <c r="E34" s="132">
        <f t="shared" si="11"/>
        <v>0</v>
      </c>
      <c r="F34" s="132">
        <f t="shared" si="39"/>
        <v>0</v>
      </c>
      <c r="G34" s="132">
        <f t="shared" si="0"/>
        <v>0</v>
      </c>
      <c r="H34" s="232">
        <f>60000/C34/12</f>
        <v>1.3007554787820765</v>
      </c>
      <c r="I34" s="132">
        <f>ROUND(H34,2)</f>
        <v>1.3</v>
      </c>
      <c r="J34" s="132">
        <f t="shared" si="1"/>
        <v>59965.152</v>
      </c>
      <c r="K34" s="130">
        <f t="shared" si="14"/>
        <v>59965</v>
      </c>
      <c r="L34" s="121">
        <f t="shared" si="2"/>
        <v>0</v>
      </c>
      <c r="M34" s="167">
        <f t="shared" si="3"/>
        <v>0</v>
      </c>
      <c r="N34" s="130">
        <f t="shared" si="4"/>
        <v>0</v>
      </c>
      <c r="O34" s="132">
        <f t="shared" si="15"/>
        <v>0</v>
      </c>
      <c r="P34" s="121">
        <f t="shared" si="16"/>
        <v>0</v>
      </c>
      <c r="Q34" s="132">
        <f t="shared" si="40"/>
        <v>0</v>
      </c>
      <c r="R34" s="131">
        <f t="shared" si="5"/>
        <v>0</v>
      </c>
      <c r="S34" s="121">
        <f t="shared" si="17"/>
        <v>0</v>
      </c>
      <c r="T34" s="121">
        <f>0/C34/12</f>
        <v>0</v>
      </c>
      <c r="U34" s="132">
        <f t="shared" si="43"/>
        <v>0</v>
      </c>
      <c r="V34" s="131">
        <f t="shared" si="6"/>
        <v>0</v>
      </c>
      <c r="W34" s="132">
        <f t="shared" si="18"/>
        <v>0</v>
      </c>
      <c r="X34" s="121">
        <f>13000/C34/12</f>
        <v>0.2818303537361166</v>
      </c>
      <c r="Y34" s="132">
        <f t="shared" si="19"/>
        <v>0.28</v>
      </c>
      <c r="Z34" s="130">
        <f t="shared" si="7"/>
        <v>12915.571200000002</v>
      </c>
      <c r="AA34" s="132">
        <f t="shared" si="20"/>
        <v>12916</v>
      </c>
      <c r="AB34" s="167">
        <f t="shared" si="41"/>
        <v>0.20595295080716214</v>
      </c>
      <c r="AC34" s="132">
        <f t="shared" si="21"/>
        <v>0.21</v>
      </c>
      <c r="AD34" s="132">
        <f t="shared" si="8"/>
        <v>9686.6784</v>
      </c>
      <c r="AE34" s="226">
        <f t="shared" si="22"/>
        <v>9687</v>
      </c>
      <c r="AF34" s="167">
        <f>6000/C34/12</f>
        <v>0.13007554787820766</v>
      </c>
      <c r="AG34" s="132">
        <f t="shared" si="23"/>
        <v>0.13</v>
      </c>
      <c r="AH34" s="132">
        <f t="shared" si="24"/>
        <v>5996.5152</v>
      </c>
      <c r="AI34" s="178">
        <f t="shared" si="25"/>
        <v>5997</v>
      </c>
      <c r="AJ34" s="221">
        <f t="shared" si="26"/>
        <v>0.32518886969551913</v>
      </c>
      <c r="AK34" s="167">
        <f t="shared" si="27"/>
        <v>0.33</v>
      </c>
      <c r="AL34" s="218">
        <f t="shared" si="9"/>
        <v>15221.923200000001</v>
      </c>
      <c r="AM34" s="218">
        <f t="shared" si="28"/>
        <v>15222</v>
      </c>
      <c r="AN34" s="221">
        <f>26000/C34/12</f>
        <v>0.5636607074722332</v>
      </c>
      <c r="AO34" s="167">
        <f t="shared" si="30"/>
        <v>0.56</v>
      </c>
      <c r="AP34" s="218">
        <f t="shared" si="31"/>
        <v>25831.142400000004</v>
      </c>
      <c r="AQ34" s="218">
        <f t="shared" si="32"/>
        <v>25831</v>
      </c>
      <c r="AR34" s="221">
        <f>6250/C34/12</f>
        <v>0.13549536237313298</v>
      </c>
      <c r="AS34" s="167">
        <f t="shared" si="33"/>
        <v>0.14</v>
      </c>
      <c r="AT34" s="218">
        <f t="shared" si="34"/>
        <v>6457.785600000001</v>
      </c>
      <c r="AU34" s="218">
        <f t="shared" si="35"/>
        <v>6458</v>
      </c>
      <c r="AV34" s="200">
        <f t="shared" si="36"/>
        <v>2.95</v>
      </c>
      <c r="AW34" s="257">
        <f t="shared" si="37"/>
        <v>136074.768</v>
      </c>
      <c r="AX34" s="122">
        <f t="shared" si="38"/>
        <v>136075</v>
      </c>
      <c r="AY34" s="250"/>
      <c r="AZ34" s="253"/>
      <c r="BA34" s="256"/>
      <c r="BB34" s="244"/>
    </row>
    <row r="35" spans="1:54" ht="15" customHeight="1">
      <c r="A35" s="243">
        <v>24</v>
      </c>
      <c r="B35" s="126" t="s">
        <v>68</v>
      </c>
      <c r="C35" s="132">
        <v>5841</v>
      </c>
      <c r="D35" s="122">
        <f>90000/C35/12</f>
        <v>1.2840267077555214</v>
      </c>
      <c r="E35" s="132">
        <f t="shared" si="11"/>
        <v>1.28</v>
      </c>
      <c r="F35" s="132">
        <f t="shared" si="39"/>
        <v>89717.76000000001</v>
      </c>
      <c r="G35" s="132">
        <f t="shared" si="0"/>
        <v>89718</v>
      </c>
      <c r="H35" s="232">
        <f>35000/C35/12</f>
        <v>0.4993437196827027</v>
      </c>
      <c r="I35" s="132">
        <f>ROUND(H35,2)</f>
        <v>0.5</v>
      </c>
      <c r="J35" s="132">
        <f t="shared" si="1"/>
        <v>35046</v>
      </c>
      <c r="K35" s="130">
        <f t="shared" si="14"/>
        <v>35046</v>
      </c>
      <c r="L35" s="121">
        <f t="shared" si="2"/>
        <v>0</v>
      </c>
      <c r="M35" s="167">
        <f t="shared" si="3"/>
        <v>0</v>
      </c>
      <c r="N35" s="130">
        <f t="shared" si="4"/>
        <v>0</v>
      </c>
      <c r="O35" s="132">
        <f t="shared" si="15"/>
        <v>0</v>
      </c>
      <c r="P35" s="121">
        <f t="shared" si="16"/>
        <v>0</v>
      </c>
      <c r="Q35" s="132">
        <f t="shared" si="40"/>
        <v>0</v>
      </c>
      <c r="R35" s="131">
        <f t="shared" si="5"/>
        <v>0</v>
      </c>
      <c r="S35" s="121">
        <f t="shared" si="17"/>
        <v>0</v>
      </c>
      <c r="T35" s="121">
        <f>0/C35/12</f>
        <v>0</v>
      </c>
      <c r="U35" s="132">
        <f t="shared" si="43"/>
        <v>0</v>
      </c>
      <c r="V35" s="131">
        <f t="shared" si="6"/>
        <v>0</v>
      </c>
      <c r="W35" s="132">
        <f t="shared" si="18"/>
        <v>0</v>
      </c>
      <c r="X35" s="121">
        <f>174000/C35/12</f>
        <v>2.482451634994008</v>
      </c>
      <c r="Y35" s="132">
        <f t="shared" si="19"/>
        <v>2.48</v>
      </c>
      <c r="Z35" s="130">
        <f t="shared" si="7"/>
        <v>173828.16</v>
      </c>
      <c r="AA35" s="132">
        <f t="shared" si="20"/>
        <v>173828</v>
      </c>
      <c r="AB35" s="167">
        <f t="shared" si="41"/>
        <v>0.135536152485305</v>
      </c>
      <c r="AC35" s="132">
        <f t="shared" si="21"/>
        <v>0.14</v>
      </c>
      <c r="AD35" s="132">
        <f t="shared" si="8"/>
        <v>9812.880000000001</v>
      </c>
      <c r="AE35" s="226">
        <f t="shared" si="22"/>
        <v>9813</v>
      </c>
      <c r="AF35" s="167">
        <f>6000/C35/12</f>
        <v>0.08560178051703475</v>
      </c>
      <c r="AG35" s="132">
        <f t="shared" si="23"/>
        <v>0.09</v>
      </c>
      <c r="AH35" s="132">
        <f t="shared" si="24"/>
        <v>6308.279999999999</v>
      </c>
      <c r="AI35" s="178">
        <f t="shared" si="25"/>
        <v>6308</v>
      </c>
      <c r="AJ35" s="221">
        <f t="shared" si="26"/>
        <v>0.2140044512925869</v>
      </c>
      <c r="AK35" s="167">
        <f t="shared" si="27"/>
        <v>0.21</v>
      </c>
      <c r="AL35" s="218">
        <f t="shared" si="9"/>
        <v>14719.32</v>
      </c>
      <c r="AM35" s="218">
        <f t="shared" si="28"/>
        <v>14719</v>
      </c>
      <c r="AN35" s="221">
        <f>30000/C35/12</f>
        <v>0.4280089025851738</v>
      </c>
      <c r="AO35" s="167">
        <f t="shared" si="30"/>
        <v>0.43</v>
      </c>
      <c r="AP35" s="218">
        <f t="shared" si="31"/>
        <v>30139.56</v>
      </c>
      <c r="AQ35" s="218">
        <f t="shared" si="32"/>
        <v>30140</v>
      </c>
      <c r="AR35" s="221">
        <f>6900/C35/12</f>
        <v>0.09844204759458997</v>
      </c>
      <c r="AS35" s="167">
        <f t="shared" si="33"/>
        <v>0.1</v>
      </c>
      <c r="AT35" s="218">
        <f t="shared" si="34"/>
        <v>7009.200000000001</v>
      </c>
      <c r="AU35" s="218">
        <f t="shared" si="35"/>
        <v>7009</v>
      </c>
      <c r="AV35" s="200">
        <f t="shared" si="36"/>
        <v>5.229999999999999</v>
      </c>
      <c r="AW35" s="257">
        <f t="shared" si="37"/>
        <v>366581.1600000001</v>
      </c>
      <c r="AX35" s="122">
        <f t="shared" si="38"/>
        <v>366581</v>
      </c>
      <c r="AY35" s="250"/>
      <c r="AZ35" s="253"/>
      <c r="BA35" s="256"/>
      <c r="BB35" s="244"/>
    </row>
    <row r="36" spans="1:54" ht="15" customHeight="1">
      <c r="A36" s="243">
        <v>25</v>
      </c>
      <c r="B36" s="126" t="s">
        <v>69</v>
      </c>
      <c r="C36" s="132">
        <v>5822.82</v>
      </c>
      <c r="D36" s="122">
        <f>35000/C36/12</f>
        <v>0.5009027699064486</v>
      </c>
      <c r="E36" s="169">
        <f t="shared" si="11"/>
        <v>0.5</v>
      </c>
      <c r="F36" s="132">
        <f t="shared" si="39"/>
        <v>34936.92</v>
      </c>
      <c r="G36" s="132">
        <f t="shared" si="0"/>
        <v>34937</v>
      </c>
      <c r="H36" s="232">
        <f t="shared" si="12"/>
        <v>0</v>
      </c>
      <c r="I36" s="132">
        <f t="shared" si="13"/>
        <v>0</v>
      </c>
      <c r="J36" s="132">
        <f t="shared" si="1"/>
        <v>0</v>
      </c>
      <c r="K36" s="130">
        <f t="shared" si="14"/>
        <v>0</v>
      </c>
      <c r="L36" s="121">
        <f>33000/C36/12</f>
        <v>0.4722797544832229</v>
      </c>
      <c r="M36" s="167">
        <f t="shared" si="3"/>
        <v>0.47</v>
      </c>
      <c r="N36" s="130">
        <f t="shared" si="4"/>
        <v>32840.7048</v>
      </c>
      <c r="O36" s="132">
        <f t="shared" si="15"/>
        <v>32841</v>
      </c>
      <c r="P36" s="121">
        <f t="shared" si="16"/>
        <v>0</v>
      </c>
      <c r="Q36" s="132">
        <f t="shared" si="40"/>
        <v>0</v>
      </c>
      <c r="R36" s="131">
        <f t="shared" si="5"/>
        <v>0</v>
      </c>
      <c r="S36" s="121">
        <f t="shared" si="17"/>
        <v>0</v>
      </c>
      <c r="T36" s="121">
        <f>0/C36/12</f>
        <v>0</v>
      </c>
      <c r="U36" s="132">
        <f t="shared" si="43"/>
        <v>0</v>
      </c>
      <c r="V36" s="131">
        <f t="shared" si="6"/>
        <v>0</v>
      </c>
      <c r="W36" s="132">
        <f t="shared" si="18"/>
        <v>0</v>
      </c>
      <c r="X36" s="121">
        <f>174000/C36/12</f>
        <v>2.49020234182063</v>
      </c>
      <c r="Y36" s="132">
        <f t="shared" si="19"/>
        <v>2.49</v>
      </c>
      <c r="Z36" s="130">
        <f t="shared" si="7"/>
        <v>173985.8616</v>
      </c>
      <c r="AA36" s="132">
        <f t="shared" si="20"/>
        <v>173986</v>
      </c>
      <c r="AB36" s="167">
        <f t="shared" si="41"/>
        <v>0.13595932326032176</v>
      </c>
      <c r="AC36" s="132">
        <f t="shared" si="21"/>
        <v>0.14</v>
      </c>
      <c r="AD36" s="132">
        <f t="shared" si="8"/>
        <v>9782.337599999999</v>
      </c>
      <c r="AE36" s="226">
        <f t="shared" si="22"/>
        <v>9782</v>
      </c>
      <c r="AF36" s="167">
        <f t="shared" si="42"/>
        <v>0</v>
      </c>
      <c r="AG36" s="132">
        <f t="shared" si="23"/>
        <v>0</v>
      </c>
      <c r="AH36" s="132">
        <f t="shared" si="24"/>
        <v>0</v>
      </c>
      <c r="AI36" s="178">
        <f t="shared" si="25"/>
        <v>0</v>
      </c>
      <c r="AJ36" s="221">
        <f t="shared" si="26"/>
        <v>0.21467261567419224</v>
      </c>
      <c r="AK36" s="167">
        <f t="shared" si="27"/>
        <v>0.21</v>
      </c>
      <c r="AL36" s="218">
        <f t="shared" si="9"/>
        <v>14673.506399999998</v>
      </c>
      <c r="AM36" s="218">
        <f t="shared" si="28"/>
        <v>14674</v>
      </c>
      <c r="AN36" s="221">
        <f>42000/C36/12</f>
        <v>0.6010833238877383</v>
      </c>
      <c r="AO36" s="167">
        <f t="shared" si="30"/>
        <v>0.6</v>
      </c>
      <c r="AP36" s="218">
        <f t="shared" si="31"/>
        <v>41924.304</v>
      </c>
      <c r="AQ36" s="218">
        <f t="shared" si="32"/>
        <v>41924</v>
      </c>
      <c r="AR36" s="221">
        <f>7400/C36/12</f>
        <v>0.10590515706593484</v>
      </c>
      <c r="AS36" s="167">
        <f t="shared" si="33"/>
        <v>0.11</v>
      </c>
      <c r="AT36" s="218">
        <f t="shared" si="34"/>
        <v>7686.122399999999</v>
      </c>
      <c r="AU36" s="218">
        <f t="shared" si="35"/>
        <v>7686</v>
      </c>
      <c r="AV36" s="200">
        <f t="shared" si="36"/>
        <v>4.5200000000000005</v>
      </c>
      <c r="AW36" s="257">
        <f t="shared" si="37"/>
        <v>315829.7568</v>
      </c>
      <c r="AX36" s="122">
        <f t="shared" si="38"/>
        <v>315830</v>
      </c>
      <c r="AY36" s="250"/>
      <c r="AZ36" s="253"/>
      <c r="BA36" s="256"/>
      <c r="BB36" s="244"/>
    </row>
    <row r="37" spans="1:53" ht="12.75">
      <c r="A37" s="182"/>
      <c r="B37" s="182"/>
      <c r="C37" s="183">
        <f>SUM(C12:C36)</f>
        <v>80413.59</v>
      </c>
      <c r="D37" s="183"/>
      <c r="E37" s="181"/>
      <c r="F37" s="181">
        <f>SUM(F12:F36)</f>
        <v>351344.75999999995</v>
      </c>
      <c r="G37" s="181">
        <f>SUM(G12:G36)</f>
        <v>351346</v>
      </c>
      <c r="H37" s="208"/>
      <c r="I37" s="224"/>
      <c r="J37" s="181">
        <f>SUM(J12:J36)</f>
        <v>181377.888</v>
      </c>
      <c r="K37" s="181">
        <f>SUM(K12:K36)</f>
        <v>181378</v>
      </c>
      <c r="L37" s="183"/>
      <c r="M37" s="209"/>
      <c r="N37" s="181">
        <f>SUM(N12:N36)</f>
        <v>167341.1904</v>
      </c>
      <c r="O37" s="181">
        <f>SUM(O12:O36)</f>
        <v>167341</v>
      </c>
      <c r="P37" s="208"/>
      <c r="Q37" s="208"/>
      <c r="R37" s="208">
        <f>SUM(R12:R36)</f>
        <v>52951.008</v>
      </c>
      <c r="S37" s="208">
        <f>SUM(S12:S36)</f>
        <v>52951</v>
      </c>
      <c r="T37" s="208"/>
      <c r="U37" s="210"/>
      <c r="V37" s="208">
        <f>SUM(V12:V36)</f>
        <v>1682713.4939999997</v>
      </c>
      <c r="W37" s="181">
        <f>SUM(W12:W36)</f>
        <v>1682711</v>
      </c>
      <c r="X37" s="208"/>
      <c r="Y37" s="208"/>
      <c r="Z37" s="181">
        <f>SUM(Z12:Z36)</f>
        <v>622932.8928</v>
      </c>
      <c r="AA37" s="181">
        <f>SUM(AA12:AA36)</f>
        <v>622934</v>
      </c>
      <c r="AB37" s="163"/>
      <c r="AC37" s="182"/>
      <c r="AD37" s="208">
        <f>SUM(AD12:AD36)</f>
        <v>239577.8244</v>
      </c>
      <c r="AE37" s="208">
        <f t="shared" si="22"/>
        <v>239578</v>
      </c>
      <c r="AF37" s="163"/>
      <c r="AG37" s="182"/>
      <c r="AH37" s="208">
        <f>SUM(AH12:AH36)</f>
        <v>90293.2704</v>
      </c>
      <c r="AI37" s="208">
        <f t="shared" si="25"/>
        <v>90293</v>
      </c>
      <c r="AJ37" s="222"/>
      <c r="AK37" s="182"/>
      <c r="AL37" s="235">
        <f>SUM(AL12:AL36)</f>
        <v>374307.54480000003</v>
      </c>
      <c r="AM37" s="182">
        <f>SUM(AM12:AM36)</f>
        <v>374306</v>
      </c>
      <c r="AN37" s="182"/>
      <c r="AO37" s="182"/>
      <c r="AP37" s="235">
        <f>SUM(AP12:AP36)</f>
        <v>286803.89999999997</v>
      </c>
      <c r="AQ37" s="182">
        <f t="shared" si="32"/>
        <v>286804</v>
      </c>
      <c r="AR37" s="182"/>
      <c r="AS37" s="182"/>
      <c r="AT37" s="235">
        <f>SUM(AT12:AT36)</f>
        <v>122427.8148</v>
      </c>
      <c r="AU37" s="182">
        <f t="shared" si="35"/>
        <v>122428</v>
      </c>
      <c r="AV37" s="200"/>
      <c r="AW37" s="255">
        <f>SUM(AW12:AW36)</f>
        <v>4172071.5875999997</v>
      </c>
      <c r="AX37" s="254">
        <f>SUM(AX12:AX36)</f>
        <v>4172070</v>
      </c>
      <c r="AY37" s="251"/>
      <c r="AZ37" s="253"/>
      <c r="BA37" s="256"/>
    </row>
    <row r="38" spans="1:53" ht="12.75">
      <c r="A38" s="180"/>
      <c r="B38" s="180"/>
      <c r="C38" s="165"/>
      <c r="D38" s="165"/>
      <c r="E38" s="179"/>
      <c r="F38" s="179"/>
      <c r="G38" s="179"/>
      <c r="H38" s="184"/>
      <c r="I38" s="179"/>
      <c r="J38" s="179"/>
      <c r="K38" s="179"/>
      <c r="L38" s="165"/>
      <c r="M38" s="203"/>
      <c r="N38" s="179"/>
      <c r="O38" s="179"/>
      <c r="P38" s="184"/>
      <c r="Q38" s="184"/>
      <c r="R38" s="184"/>
      <c r="S38" s="184"/>
      <c r="T38" s="184"/>
      <c r="U38" s="204"/>
      <c r="V38" s="184"/>
      <c r="W38" s="179"/>
      <c r="X38" s="184"/>
      <c r="Y38" s="184"/>
      <c r="Z38" s="179"/>
      <c r="AA38" s="179"/>
      <c r="AB38" s="180"/>
      <c r="AC38" s="180"/>
      <c r="AD38" s="184"/>
      <c r="AE38" s="184"/>
      <c r="AF38" s="180"/>
      <c r="AG38" s="180"/>
      <c r="AH38" s="184"/>
      <c r="AI38" s="184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4"/>
      <c r="AY38" s="251"/>
      <c r="AZ38" s="253"/>
      <c r="BA38" s="237"/>
    </row>
    <row r="39" spans="1:51" ht="12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73"/>
      <c r="N39" s="133"/>
      <c r="O39" s="133"/>
      <c r="P39" s="133"/>
      <c r="Q39" s="133"/>
      <c r="R39" s="133"/>
      <c r="S39" s="133"/>
      <c r="T39" s="133"/>
      <c r="U39" s="175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28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</row>
    <row r="40" spans="3:35" ht="12.75"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</row>
    <row r="41" spans="3:35" ht="12.75"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</row>
    <row r="42" spans="3:35" ht="12.75"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</row>
    <row r="44" spans="2:29" ht="12.75">
      <c r="B44" s="409" t="s">
        <v>102</v>
      </c>
      <c r="C44" s="410"/>
      <c r="AC44" s="244"/>
    </row>
    <row r="45" spans="2:3" ht="29.25" customHeight="1">
      <c r="B45" s="410"/>
      <c r="C45" s="410"/>
    </row>
  </sheetData>
  <mergeCells count="9">
    <mergeCell ref="B44:C45"/>
    <mergeCell ref="A5:B5"/>
    <mergeCell ref="A6:AX6"/>
    <mergeCell ref="A8:AX8"/>
    <mergeCell ref="A9:A11"/>
    <mergeCell ref="B9:B11"/>
    <mergeCell ref="C9:C11"/>
    <mergeCell ref="D9:AX9"/>
    <mergeCell ref="Y7:BV7"/>
  </mergeCells>
  <printOptions/>
  <pageMargins left="0.16" right="0.16" top="0.22" bottom="0.51" header="0.5" footer="0.5"/>
  <pageSetup orientation="landscape" paperSize="9" scale="54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12345</cp:lastModifiedBy>
  <cp:lastPrinted>2015-02-18T13:53:12Z</cp:lastPrinted>
  <dcterms:created xsi:type="dcterms:W3CDTF">1996-10-08T23:32:33Z</dcterms:created>
  <dcterms:modified xsi:type="dcterms:W3CDTF">2015-02-18T13:53:37Z</dcterms:modified>
  <cp:category/>
  <cp:version/>
  <cp:contentType/>
  <cp:contentStatus/>
</cp:coreProperties>
</file>